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265" tabRatio="895" activeTab="6"/>
  </bookViews>
  <sheets>
    <sheet name="USB_to_RS_v040" sheetId="1" r:id="rId1"/>
    <sheet name="Operating Phases" sheetId="11" r:id="rId2"/>
    <sheet name="Ceramic Capacitors" sheetId="2" r:id="rId3"/>
    <sheet name="Resistors" sheetId="3" r:id="rId4"/>
    <sheet name="Discrete semiconductors" sheetId="4" r:id="rId5"/>
    <sheet name="LEDs" sheetId="15" r:id="rId6"/>
    <sheet name="Microcircuits" sheetId="6" r:id="rId7"/>
    <sheet name="DCDC converter" sheetId="16" r:id="rId8"/>
    <sheet name="Inductors" sheetId="18" r:id="rId9"/>
    <sheet name="Switches" sheetId="7" r:id="rId10"/>
    <sheet name="Connectors" sheetId="9" r:id="rId11"/>
    <sheet name="Fuses" sheetId="14" r:id="rId12"/>
    <sheet name="PCB" sheetId="12" r:id="rId13"/>
    <sheet name="MTBF" sheetId="10" r:id="rId14"/>
  </sheets>
  <calcPr calcId="152511"/>
</workbook>
</file>

<file path=xl/calcChain.xml><?xml version="1.0" encoding="utf-8"?>
<calcChain xmlns="http://schemas.openxmlformats.org/spreadsheetml/2006/main">
  <c r="AA4" i="12" l="1"/>
  <c r="Z4" i="12"/>
  <c r="W4" i="12"/>
  <c r="V4" i="12"/>
  <c r="U4" i="12"/>
  <c r="T4" i="12"/>
  <c r="AC3" i="14" l="1"/>
  <c r="AA3" i="14"/>
  <c r="Z3" i="14"/>
  <c r="Y3" i="14"/>
  <c r="U3" i="14"/>
  <c r="S3" i="14"/>
  <c r="R3" i="14"/>
  <c r="Q3" i="14"/>
  <c r="AG5" i="9" l="1"/>
  <c r="AG6" i="9"/>
  <c r="AD5" i="9"/>
  <c r="AD6" i="9"/>
  <c r="AC5" i="9"/>
  <c r="AC6" i="9"/>
  <c r="AB5" i="9"/>
  <c r="AB6" i="9"/>
  <c r="X5" i="9"/>
  <c r="X6" i="9"/>
  <c r="W5" i="9"/>
  <c r="W6" i="9"/>
  <c r="V5" i="9"/>
  <c r="V6" i="9"/>
  <c r="U5" i="9"/>
  <c r="U6" i="9"/>
  <c r="T5" i="9"/>
  <c r="T6" i="9"/>
  <c r="AG4" i="9"/>
  <c r="AD4" i="9"/>
  <c r="AC4" i="9"/>
  <c r="AB4" i="9"/>
  <c r="X4" i="9"/>
  <c r="W4" i="9"/>
  <c r="V4" i="9"/>
  <c r="U4" i="9"/>
  <c r="T4" i="9"/>
  <c r="O5" i="9"/>
  <c r="O6" i="9"/>
  <c r="O4" i="9"/>
  <c r="M5" i="9"/>
  <c r="M6" i="9"/>
  <c r="M4" i="9"/>
  <c r="AA5" i="7"/>
  <c r="Z5" i="7"/>
  <c r="U5" i="7"/>
  <c r="T5" i="7"/>
  <c r="S5" i="7"/>
  <c r="R5" i="7"/>
  <c r="Q5" i="7"/>
  <c r="AA4" i="7"/>
  <c r="Z4" i="7"/>
  <c r="U4" i="7"/>
  <c r="T4" i="7"/>
  <c r="S4" i="7"/>
  <c r="R4" i="7"/>
  <c r="Q4" i="7"/>
  <c r="Y5" i="18"/>
  <c r="Y6" i="18"/>
  <c r="W5" i="18"/>
  <c r="W6" i="18"/>
  <c r="S5" i="18"/>
  <c r="S6" i="18"/>
  <c r="R6" i="18"/>
  <c r="Q5" i="18"/>
  <c r="Q6" i="18"/>
  <c r="Y4" i="18"/>
  <c r="W4" i="18"/>
  <c r="S4" i="18"/>
  <c r="R4" i="18"/>
  <c r="Q4" i="18"/>
  <c r="AI5" i="6"/>
  <c r="AI6" i="6"/>
  <c r="AI7" i="6"/>
  <c r="AI8" i="6"/>
  <c r="AI4" i="6"/>
  <c r="AH5" i="6"/>
  <c r="AH6" i="6"/>
  <c r="AH7" i="6"/>
  <c r="AH8" i="6"/>
  <c r="AH4" i="6"/>
  <c r="AB5" i="6"/>
  <c r="AB6" i="6"/>
  <c r="AB7" i="6"/>
  <c r="AB8" i="6"/>
  <c r="AB4" i="6"/>
  <c r="AA5" i="6"/>
  <c r="AA6" i="6"/>
  <c r="AA7" i="6"/>
  <c r="AA8" i="6"/>
  <c r="AA4" i="6"/>
  <c r="Z5" i="6"/>
  <c r="Z6" i="6"/>
  <c r="Z7" i="6"/>
  <c r="Z8" i="6"/>
  <c r="Z4" i="6"/>
  <c r="AA5" i="15"/>
  <c r="AA6" i="15"/>
  <c r="AA4" i="15"/>
  <c r="Z5" i="15"/>
  <c r="Z6" i="15"/>
  <c r="Z4" i="15"/>
  <c r="T5" i="15"/>
  <c r="T6" i="15"/>
  <c r="T4" i="15"/>
  <c r="S5" i="15"/>
  <c r="S6" i="15"/>
  <c r="S4" i="15"/>
  <c r="R5" i="15"/>
  <c r="R6" i="15"/>
  <c r="R4" i="15"/>
  <c r="AA5" i="4"/>
  <c r="AA6" i="4"/>
  <c r="AA7" i="4"/>
  <c r="AA4" i="4"/>
  <c r="Z5" i="4"/>
  <c r="Z6" i="4"/>
  <c r="Z7" i="4"/>
  <c r="Z4" i="4"/>
  <c r="T5" i="4"/>
  <c r="T6" i="4"/>
  <c r="T7" i="4"/>
  <c r="T4" i="4"/>
  <c r="S7" i="4"/>
  <c r="S6" i="4"/>
  <c r="S5" i="4"/>
  <c r="S4" i="4"/>
  <c r="R5" i="4"/>
  <c r="R6" i="4"/>
  <c r="R7" i="4"/>
  <c r="R4" i="4"/>
  <c r="AE4" i="3" l="1"/>
  <c r="AE5" i="3"/>
  <c r="AE6" i="3"/>
  <c r="AE7" i="3"/>
  <c r="AE8" i="3"/>
  <c r="AE9" i="3"/>
  <c r="AE10" i="3"/>
  <c r="AE11" i="3"/>
  <c r="AE12" i="3"/>
  <c r="Z4" i="16" l="1"/>
  <c r="AA4" i="16"/>
  <c r="U4" i="16"/>
  <c r="T4" i="16"/>
  <c r="S4" i="16"/>
  <c r="L4" i="16"/>
  <c r="R4" i="16" s="1"/>
  <c r="O4" i="16"/>
  <c r="Y8" i="6"/>
  <c r="X8" i="6"/>
  <c r="U8" i="6"/>
  <c r="R8" i="6"/>
  <c r="O8" i="6"/>
  <c r="AC4" i="16"/>
  <c r="Y7" i="6"/>
  <c r="X7" i="6"/>
  <c r="U7" i="6"/>
  <c r="R7" i="6"/>
  <c r="O7" i="6"/>
  <c r="Y6" i="6"/>
  <c r="X6" i="6"/>
  <c r="U6" i="6"/>
  <c r="R6" i="6"/>
  <c r="O6" i="6"/>
  <c r="Y5" i="6"/>
  <c r="X5" i="6"/>
  <c r="U5" i="6"/>
  <c r="R5" i="6"/>
  <c r="O5" i="6"/>
  <c r="AK5" i="6"/>
  <c r="AK6" i="6"/>
  <c r="AK7" i="6"/>
  <c r="AK8" i="6"/>
  <c r="Y4" i="6"/>
  <c r="X4" i="6"/>
  <c r="U4" i="6"/>
  <c r="R4" i="6"/>
  <c r="O4" i="6"/>
  <c r="AK4" i="6"/>
  <c r="Q6" i="15" l="1"/>
  <c r="AC6" i="15"/>
  <c r="Q5" i="15"/>
  <c r="AC5" i="15"/>
  <c r="Q4" i="15"/>
  <c r="AC4" i="15"/>
  <c r="Q7" i="4"/>
  <c r="AC7" i="4"/>
  <c r="Q6" i="4"/>
  <c r="AC6" i="4"/>
  <c r="Q5" i="4"/>
  <c r="AC5" i="4"/>
  <c r="Q4" i="4"/>
  <c r="AC4" i="4"/>
  <c r="G5" i="3" l="1"/>
  <c r="W5" i="3" s="1"/>
  <c r="G6" i="3"/>
  <c r="W6" i="3" s="1"/>
  <c r="G7" i="3"/>
  <c r="W7" i="3" s="1"/>
  <c r="G8" i="3"/>
  <c r="W8" i="3" s="1"/>
  <c r="G9" i="3"/>
  <c r="W9" i="3" s="1"/>
  <c r="G10" i="3"/>
  <c r="W10" i="3" s="1"/>
  <c r="G11" i="3"/>
  <c r="W11" i="3" s="1"/>
  <c r="G12" i="3"/>
  <c r="W12" i="3" s="1"/>
  <c r="G4" i="3"/>
  <c r="W4" i="3" s="1"/>
  <c r="X7" i="3" l="1"/>
  <c r="AG4" i="3"/>
  <c r="S4" i="12"/>
  <c r="AB4" i="12"/>
  <c r="AD4" i="12"/>
  <c r="AL5" i="2" l="1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4" i="2"/>
  <c r="AG5" i="3" l="1"/>
  <c r="AG6" i="3"/>
  <c r="AG7" i="3"/>
  <c r="AG8" i="3"/>
  <c r="AG9" i="3"/>
  <c r="AG10" i="3"/>
  <c r="AG11" i="3"/>
  <c r="AG12" i="3"/>
  <c r="Z4" i="11" l="1"/>
  <c r="AC4" i="12" s="1"/>
  <c r="Z3" i="11"/>
  <c r="X4" i="12" s="1"/>
  <c r="V3" i="14" l="1"/>
  <c r="T5" i="18"/>
  <c r="Y5" i="9"/>
  <c r="V4" i="7"/>
  <c r="T6" i="18"/>
  <c r="T4" i="18"/>
  <c r="Y4" i="9"/>
  <c r="V5" i="7"/>
  <c r="Y6" i="9"/>
  <c r="AB3" i="14"/>
  <c r="AE6" i="9"/>
  <c r="X5" i="18"/>
  <c r="AB4" i="7"/>
  <c r="AE4" i="9"/>
  <c r="AE5" i="9"/>
  <c r="AB5" i="7"/>
  <c r="X6" i="18"/>
  <c r="X4" i="18"/>
  <c r="AF5" i="3"/>
  <c r="AJ8" i="6"/>
  <c r="AB5" i="15"/>
  <c r="AB5" i="4"/>
  <c r="AJ7" i="6"/>
  <c r="AB4" i="4"/>
  <c r="AJ6" i="6"/>
  <c r="AB4" i="15"/>
  <c r="AB7" i="4"/>
  <c r="AJ5" i="6"/>
  <c r="AJ4" i="6"/>
  <c r="AB6" i="15"/>
  <c r="AB6" i="4"/>
  <c r="AB4" i="16"/>
  <c r="AA8" i="3"/>
  <c r="AA12" i="3"/>
  <c r="AD8" i="6"/>
  <c r="V5" i="4"/>
  <c r="AA7" i="3"/>
  <c r="AA11" i="3"/>
  <c r="AD7" i="6"/>
  <c r="V4" i="15"/>
  <c r="V4" i="4"/>
  <c r="AA6" i="3"/>
  <c r="AA10" i="3"/>
  <c r="AD6" i="6"/>
  <c r="V6" i="15"/>
  <c r="V7" i="4"/>
  <c r="AA5" i="3"/>
  <c r="AA9" i="3"/>
  <c r="AD5" i="6"/>
  <c r="AD4" i="6"/>
  <c r="V5" i="15"/>
  <c r="V6" i="4"/>
  <c r="W4" i="16"/>
  <c r="AF4" i="3"/>
  <c r="AF10" i="3"/>
  <c r="AF6" i="3"/>
  <c r="AA4" i="3"/>
  <c r="AF11" i="3"/>
  <c r="AF7" i="3"/>
  <c r="AG4" i="2"/>
  <c r="AG5" i="2"/>
  <c r="AG9" i="2"/>
  <c r="AG13" i="2"/>
  <c r="AG17" i="2"/>
  <c r="AG15" i="2"/>
  <c r="AG6" i="2"/>
  <c r="AG10" i="2"/>
  <c r="AG14" i="2"/>
  <c r="AG18" i="2"/>
  <c r="AG11" i="2"/>
  <c r="AG8" i="2"/>
  <c r="AG12" i="2"/>
  <c r="AG16" i="2"/>
  <c r="AG7" i="2"/>
  <c r="AF9" i="3"/>
  <c r="AK8" i="2"/>
  <c r="AK12" i="2"/>
  <c r="AK16" i="2"/>
  <c r="AK10" i="2"/>
  <c r="AK18" i="2"/>
  <c r="AK5" i="2"/>
  <c r="AK9" i="2"/>
  <c r="AK13" i="2"/>
  <c r="AK17" i="2"/>
  <c r="AK6" i="2"/>
  <c r="AK14" i="2"/>
  <c r="AK7" i="2"/>
  <c r="AK11" i="2"/>
  <c r="AK15" i="2"/>
  <c r="AK4" i="2"/>
  <c r="AF12" i="3"/>
  <c r="AF8" i="3"/>
  <c r="Y5" i="3"/>
  <c r="AD5" i="3" s="1"/>
  <c r="Y6" i="3"/>
  <c r="AD6" i="3" s="1"/>
  <c r="Y7" i="3"/>
  <c r="Y8" i="3"/>
  <c r="AD8" i="3" s="1"/>
  <c r="Y9" i="3"/>
  <c r="AD9" i="3" s="1"/>
  <c r="Y10" i="3"/>
  <c r="AD10" i="3" s="1"/>
  <c r="Y11" i="3"/>
  <c r="AD11" i="3" s="1"/>
  <c r="Y12" i="3"/>
  <c r="AD12" i="3" s="1"/>
  <c r="Y4" i="3"/>
  <c r="AD4" i="3" s="1"/>
  <c r="X5" i="3"/>
  <c r="X6" i="3"/>
  <c r="X8" i="3"/>
  <c r="X9" i="3"/>
  <c r="X10" i="3"/>
  <c r="X11" i="3"/>
  <c r="X12" i="3"/>
  <c r="X4" i="3"/>
  <c r="B4" i="11"/>
  <c r="Y4" i="12" s="1"/>
  <c r="AE4" i="12" l="1"/>
  <c r="AF4" i="12" s="1"/>
  <c r="AF5" i="12" s="1"/>
  <c r="C15" i="10" s="1"/>
  <c r="AA6" i="9"/>
  <c r="AF6" i="9" s="1"/>
  <c r="AH6" i="9" s="1"/>
  <c r="AA5" i="9"/>
  <c r="AF5" i="9" s="1"/>
  <c r="AH5" i="9" s="1"/>
  <c r="V6" i="18"/>
  <c r="Z6" i="18" s="1"/>
  <c r="AA6" i="18" s="1"/>
  <c r="AA4" i="9"/>
  <c r="V5" i="18"/>
  <c r="AF4" i="9"/>
  <c r="AH4" i="9" s="1"/>
  <c r="AD7" i="3"/>
  <c r="H4" i="11"/>
  <c r="Y5" i="15" s="1"/>
  <c r="X6" i="4"/>
  <c r="X4" i="15"/>
  <c r="AF5" i="6"/>
  <c r="AF4" i="6"/>
  <c r="X5" i="4"/>
  <c r="X6" i="15"/>
  <c r="AF8" i="6"/>
  <c r="Y4" i="4"/>
  <c r="X7" i="4"/>
  <c r="X5" i="15"/>
  <c r="AF7" i="6"/>
  <c r="X4" i="4"/>
  <c r="AF6" i="6"/>
  <c r="AI18" i="2"/>
  <c r="AM18" i="2" s="1"/>
  <c r="AN18" i="2" s="1"/>
  <c r="AC12" i="3" l="1"/>
  <c r="AH12" i="3" s="1"/>
  <c r="AI13" i="2"/>
  <c r="AM13" i="2" s="1"/>
  <c r="AN13" i="2" s="1"/>
  <c r="AI4" i="2"/>
  <c r="AM4" i="2" s="1"/>
  <c r="AN4" i="2" s="1"/>
  <c r="X3" i="14"/>
  <c r="AD3" i="14" s="1"/>
  <c r="AE3" i="14" s="1"/>
  <c r="AE4" i="14" s="1"/>
  <c r="C14" i="10" s="1"/>
  <c r="AC4" i="3"/>
  <c r="AH4" i="3" s="1"/>
  <c r="AI4" i="3" s="1"/>
  <c r="AC11" i="3"/>
  <c r="AH11" i="3" s="1"/>
  <c r="AG6" i="6"/>
  <c r="AL6" i="6" s="1"/>
  <c r="AM6" i="6" s="1"/>
  <c r="R5" i="18"/>
  <c r="Z5" i="18" s="1"/>
  <c r="AA5" i="18" s="1"/>
  <c r="AH7" i="9"/>
  <c r="C13" i="10" s="1"/>
  <c r="Y5" i="7"/>
  <c r="AD5" i="7" s="1"/>
  <c r="AE5" i="7" s="1"/>
  <c r="V4" i="18"/>
  <c r="Z4" i="18" s="1"/>
  <c r="AA4" i="18" s="1"/>
  <c r="Y4" i="7"/>
  <c r="AD4" i="7" s="1"/>
  <c r="AE4" i="7" s="1"/>
  <c r="AC9" i="3"/>
  <c r="AI17" i="2"/>
  <c r="AM17" i="2" s="1"/>
  <c r="AN17" i="2" s="1"/>
  <c r="AI7" i="2"/>
  <c r="AM7" i="2" s="1"/>
  <c r="AN7" i="2" s="1"/>
  <c r="Y6" i="4"/>
  <c r="AD6" i="4" s="1"/>
  <c r="AE6" i="4" s="1"/>
  <c r="AC7" i="3"/>
  <c r="AC8" i="3"/>
  <c r="AI8" i="2"/>
  <c r="AM8" i="2" s="1"/>
  <c r="AN8" i="2" s="1"/>
  <c r="AI5" i="2"/>
  <c r="AM5" i="2" s="1"/>
  <c r="AN5" i="2" s="1"/>
  <c r="AI11" i="2"/>
  <c r="AM11" i="2" s="1"/>
  <c r="AN11" i="2" s="1"/>
  <c r="AI10" i="2"/>
  <c r="AM10" i="2" s="1"/>
  <c r="AN10" i="2" s="1"/>
  <c r="Y4" i="16"/>
  <c r="AD4" i="16" s="1"/>
  <c r="AE4" i="16" s="1"/>
  <c r="AE5" i="16" s="1"/>
  <c r="C10" i="10" s="1"/>
  <c r="AC10" i="3"/>
  <c r="AH10" i="3" s="1"/>
  <c r="AI12" i="2"/>
  <c r="AM12" i="2" s="1"/>
  <c r="AN12" i="2" s="1"/>
  <c r="AI6" i="2"/>
  <c r="AM6" i="2" s="1"/>
  <c r="AN6" i="2" s="1"/>
  <c r="Y7" i="4"/>
  <c r="AD7" i="4" s="1"/>
  <c r="AE7" i="4" s="1"/>
  <c r="AC5" i="3"/>
  <c r="AH5" i="3" s="1"/>
  <c r="AC6" i="3"/>
  <c r="AI16" i="2"/>
  <c r="AM16" i="2" s="1"/>
  <c r="AN16" i="2" s="1"/>
  <c r="AI9" i="2"/>
  <c r="AM9" i="2" s="1"/>
  <c r="AN9" i="2" s="1"/>
  <c r="AI15" i="2"/>
  <c r="AM15" i="2" s="1"/>
  <c r="AN15" i="2" s="1"/>
  <c r="AI14" i="2"/>
  <c r="AM14" i="2" s="1"/>
  <c r="AN14" i="2" s="1"/>
  <c r="AG7" i="6"/>
  <c r="AG5" i="6"/>
  <c r="AL5" i="6" s="1"/>
  <c r="AM5" i="6" s="1"/>
  <c r="AD5" i="15"/>
  <c r="AE5" i="15" s="1"/>
  <c r="Y4" i="15"/>
  <c r="AD4" i="15" s="1"/>
  <c r="AE4" i="15" s="1"/>
  <c r="AD4" i="4"/>
  <c r="AE4" i="4" s="1"/>
  <c r="AG8" i="6"/>
  <c r="AL8" i="6" s="1"/>
  <c r="AM8" i="6" s="1"/>
  <c r="Y6" i="15"/>
  <c r="AD6" i="15" s="1"/>
  <c r="AE6" i="15" s="1"/>
  <c r="AL7" i="6"/>
  <c r="AM7" i="6" s="1"/>
  <c r="AG4" i="6"/>
  <c r="AL4" i="6" s="1"/>
  <c r="AM4" i="6" s="1"/>
  <c r="Y5" i="4"/>
  <c r="AD5" i="4" s="1"/>
  <c r="AE5" i="4" s="1"/>
  <c r="AE6" i="7"/>
  <c r="C12" i="10" s="1"/>
  <c r="AI5" i="3"/>
  <c r="AI10" i="3"/>
  <c r="AI11" i="3"/>
  <c r="AI12" i="3"/>
  <c r="AA7" i="18" l="1"/>
  <c r="C11" i="10" s="1"/>
  <c r="AN19" i="2"/>
  <c r="C5" i="10" s="1"/>
  <c r="AH8" i="3"/>
  <c r="AI8" i="3" s="1"/>
  <c r="AH9" i="3"/>
  <c r="AI9" i="3" s="1"/>
  <c r="AH6" i="3"/>
  <c r="AI6" i="3" s="1"/>
  <c r="AH7" i="3"/>
  <c r="AI7" i="3" s="1"/>
  <c r="AE8" i="4"/>
  <c r="C7" i="10" s="1"/>
  <c r="AE7" i="15"/>
  <c r="C8" i="10" s="1"/>
  <c r="AM9" i="6"/>
  <c r="C9" i="10" s="1"/>
  <c r="AI13" i="3" l="1"/>
  <c r="C6" i="10" s="1"/>
  <c r="C16" i="10"/>
  <c r="C17" i="10" s="1"/>
  <c r="C18" i="10" s="1"/>
</calcChain>
</file>

<file path=xl/sharedStrings.xml><?xml version="1.0" encoding="utf-8"?>
<sst xmlns="http://schemas.openxmlformats.org/spreadsheetml/2006/main" count="922" uniqueCount="294">
  <si>
    <t>Part</t>
  </si>
  <si>
    <t>Value</t>
  </si>
  <si>
    <t>Device</t>
  </si>
  <si>
    <t>Package</t>
  </si>
  <si>
    <t>Description</t>
  </si>
  <si>
    <t>I_RMS</t>
  </si>
  <si>
    <t>MF</t>
  </si>
  <si>
    <t>MPN</t>
  </si>
  <si>
    <t>OC_FARNELL</t>
  </si>
  <si>
    <t>OC_NEWARK</t>
  </si>
  <si>
    <t>P_RATED</t>
  </si>
  <si>
    <t>R_STYL</t>
  </si>
  <si>
    <t>R_TYPE</t>
  </si>
  <si>
    <t>T</t>
  </si>
  <si>
    <t>V</t>
  </si>
  <si>
    <t>C1</t>
  </si>
  <si>
    <t>100nF</t>
  </si>
  <si>
    <t>CAPACITOR, European symbol</t>
  </si>
  <si>
    <t>CDR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</si>
  <si>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</si>
  <si>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</si>
  <si>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</si>
  <si>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</si>
  <si>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</si>
  <si>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</si>
  <si>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</si>
  <si>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</si>
  <si>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</si>
  <si>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</si>
  <si>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</si>
  <si>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</si>
  <si>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</si>
  <si>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</si>
  <si>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10nF</t>
  </si>
  <si>
    <t>D1</t>
  </si>
  <si>
    <t>D2</t>
  </si>
  <si>
    <t>D3</t>
  </si>
  <si>
    <t>D4</t>
  </si>
  <si>
    <t>D5</t>
  </si>
  <si>
    <t>LM1117</t>
  </si>
  <si>
    <t>J1</t>
  </si>
  <si>
    <t>R1</t>
  </si>
  <si>
    <t>RESISTOR, European symbol</t>
  </si>
  <si>
    <t>RM</t>
  </si>
  <si>
    <t>R2</t>
  </si>
  <si>
    <t>R3</t>
  </si>
  <si>
    <t>0R</t>
  </si>
  <si>
    <t>R4</t>
  </si>
  <si>
    <t>R5</t>
  </si>
  <si>
    <t>1k</t>
  </si>
  <si>
    <t>R6</t>
  </si>
  <si>
    <t>R7</t>
  </si>
  <si>
    <t>R8</t>
  </si>
  <si>
    <t>R9</t>
  </si>
  <si>
    <t>S1</t>
  </si>
  <si>
    <t>S2</t>
  </si>
  <si>
    <t>U1</t>
  </si>
  <si>
    <r>
      <t>T [</t>
    </r>
    <r>
      <rPr>
        <b/>
        <sz val="11"/>
        <color theme="3"/>
        <rFont val="Calibri"/>
        <family val="2"/>
        <charset val="238"/>
      </rPr>
      <t>°C]</t>
    </r>
  </si>
  <si>
    <t>T [°C]</t>
  </si>
  <si>
    <t>R [Ohm]</t>
  </si>
  <si>
    <t>Resistors</t>
  </si>
  <si>
    <t>Microcircuits</t>
  </si>
  <si>
    <t>Switches</t>
  </si>
  <si>
    <t>MTBF Summary</t>
  </si>
  <si>
    <t>MTBF</t>
  </si>
  <si>
    <t>Total Failure rate</t>
  </si>
  <si>
    <r>
      <t>Failures/10</t>
    </r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h</t>
    </r>
  </si>
  <si>
    <t>h</t>
  </si>
  <si>
    <t>years</t>
  </si>
  <si>
    <t>Failures/106 h</t>
  </si>
  <si>
    <t>R type</t>
  </si>
  <si>
    <t>Resistive chip</t>
  </si>
  <si>
    <t xml:space="preserve">Basic failure rate associated with the component </t>
  </si>
  <si>
    <t>Operating Phase</t>
  </si>
  <si>
    <t>Non-oprating Phase</t>
  </si>
  <si>
    <t>Name</t>
  </si>
  <si>
    <t>Active Operation Phase</t>
  </si>
  <si>
    <t>Active Non-operation Phase</t>
  </si>
  <si>
    <t>A (°C)</t>
  </si>
  <si>
    <t>p1</t>
  </si>
  <si>
    <t>Application factor</t>
  </si>
  <si>
    <t>p2</t>
  </si>
  <si>
    <t>Pos1</t>
  </si>
  <si>
    <t>Pos2</t>
  </si>
  <si>
    <t>p3</t>
  </si>
  <si>
    <t>Pos3</t>
  </si>
  <si>
    <t>p4</t>
  </si>
  <si>
    <t>Pos4</t>
  </si>
  <si>
    <t>p5</t>
  </si>
  <si>
    <t>Pos5</t>
  </si>
  <si>
    <t xml:space="preserve">p6 </t>
  </si>
  <si>
    <t>Pos6</t>
  </si>
  <si>
    <t>p7</t>
  </si>
  <si>
    <t>Pos7</t>
  </si>
  <si>
    <t>p8</t>
  </si>
  <si>
    <t>Pos8</t>
  </si>
  <si>
    <t>ε</t>
  </si>
  <si>
    <t>Component manufacturing factor</t>
  </si>
  <si>
    <t>Activation energy (eV)</t>
  </si>
  <si>
    <t>a</t>
  </si>
  <si>
    <t>b</t>
  </si>
  <si>
    <t>PCB</t>
  </si>
  <si>
    <t>λ</t>
  </si>
  <si>
    <t>λ_part</t>
  </si>
  <si>
    <t>Connectors</t>
  </si>
  <si>
    <t>Total</t>
  </si>
  <si>
    <t>Total:</t>
  </si>
  <si>
    <t>10uF</t>
  </si>
  <si>
    <t>470nF</t>
  </si>
  <si>
    <t>0603R</t>
  </si>
  <si>
    <t>0805R</t>
  </si>
  <si>
    <t>1206R</t>
  </si>
  <si>
    <t>100n</t>
  </si>
  <si>
    <t>10u</t>
  </si>
  <si>
    <t>10n</t>
  </si>
  <si>
    <t>470n</t>
  </si>
  <si>
    <t>LED-RED</t>
  </si>
  <si>
    <t>LED-GREEN</t>
  </si>
  <si>
    <t>TVS</t>
  </si>
  <si>
    <t>D6</t>
  </si>
  <si>
    <t>D7</t>
  </si>
  <si>
    <t>F3</t>
  </si>
  <si>
    <t>FUSE</t>
  </si>
  <si>
    <t>FB1</t>
  </si>
  <si>
    <t>FERRITEBEAD1</t>
  </si>
  <si>
    <t>DB9</t>
  </si>
  <si>
    <t>L1</t>
  </si>
  <si>
    <t>470u</t>
  </si>
  <si>
    <t>L2</t>
  </si>
  <si>
    <t>1m</t>
  </si>
  <si>
    <t>M1</t>
  </si>
  <si>
    <t>MECHANICAL</t>
  </si>
  <si>
    <t>P1</t>
  </si>
  <si>
    <t>PH_CONN_4</t>
  </si>
  <si>
    <t>P2</t>
  </si>
  <si>
    <t>IDC6</t>
  </si>
  <si>
    <t>0</t>
  </si>
  <si>
    <t>360</t>
  </si>
  <si>
    <t>300</t>
  </si>
  <si>
    <t>SW SPDT</t>
  </si>
  <si>
    <t>FT232RL</t>
  </si>
  <si>
    <t>U2</t>
  </si>
  <si>
    <t>FSAL200</t>
  </si>
  <si>
    <t>U3</t>
  </si>
  <si>
    <t>ST3232C</t>
  </si>
  <si>
    <t>U4</t>
  </si>
  <si>
    <t>ADUM1412</t>
  </si>
  <si>
    <t>U5</t>
  </si>
  <si>
    <t>RKE-05055/H</t>
  </si>
  <si>
    <t>U6</t>
  </si>
  <si>
    <t>LED_3mm</t>
  </si>
  <si>
    <t>LED</t>
  </si>
  <si>
    <t>TVS Diode</t>
  </si>
  <si>
    <t>1210</t>
  </si>
  <si>
    <t>Fuse</t>
  </si>
  <si>
    <t>Ferrite Bead</t>
  </si>
  <si>
    <t>DB9RA/M</t>
  </si>
  <si>
    <t>DB Connector</t>
  </si>
  <si>
    <t>LPS6235</t>
  </si>
  <si>
    <t>MSS1260</t>
  </si>
  <si>
    <t>OBUDOWA USB_RS</t>
  </si>
  <si>
    <t>Mechanical and electromechanical parts</t>
  </si>
  <si>
    <t/>
  </si>
  <si>
    <t>IDC6_EDGE</t>
  </si>
  <si>
    <t>SPDT_SUWAK</t>
  </si>
  <si>
    <t>SPDT THT EDGE SWITCH</t>
  </si>
  <si>
    <t>TSSOP-28</t>
  </si>
  <si>
    <t xml:space="preserve">USB UART ,IC, SMD,TSSOP28, 232 </t>
  </si>
  <si>
    <t>TSSOP-16</t>
  </si>
  <si>
    <t>Wide Bandwidth Quad 2:1 Analog Multiplexer / De-multiplexer Switch</t>
  </si>
  <si>
    <t>SO-16</t>
  </si>
  <si>
    <t>3 TO 5.5V, LOW POWER, UP TO 400KBPS RS-232 DRIVERS AND RECEIVERS</t>
  </si>
  <si>
    <t>SOIC_W_16</t>
  </si>
  <si>
    <t>General-purpose multichannel isolation</t>
  </si>
  <si>
    <t>SIP7 - CONVERTER</t>
  </si>
  <si>
    <t>1W DC/DC Converter, 3,75kVDC/1sek isolation, Single Output, SIP7</t>
  </si>
  <si>
    <t>DPAK</t>
  </si>
  <si>
    <t>Linear 3V regulator, 0.1A</t>
  </si>
  <si>
    <t>INDUCTOR, European symbol</t>
  </si>
  <si>
    <t>360R</t>
  </si>
  <si>
    <t>300R</t>
  </si>
  <si>
    <t>Inductors</t>
  </si>
  <si>
    <t>Fuses</t>
  </si>
  <si>
    <t>SOD323</t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</si>
  <si>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0TH-TCy</t>
    </r>
  </si>
  <si>
    <r>
      <rPr>
        <b/>
        <sz val="11"/>
        <color theme="3"/>
        <rFont val="Symbol"/>
        <family val="1"/>
        <charset val="2"/>
      </rPr>
      <t>g</t>
    </r>
    <r>
      <rPr>
        <b/>
        <vertAlign val="subscript"/>
        <sz val="11"/>
        <color theme="3"/>
        <rFont val="Calibri"/>
        <family val="2"/>
        <charset val="238"/>
      </rPr>
      <t>TH</t>
    </r>
  </si>
  <si>
    <r>
      <rPr>
        <b/>
        <sz val="11"/>
        <color theme="3"/>
        <rFont val="Symbol"/>
        <family val="1"/>
        <charset val="2"/>
      </rPr>
      <t>g</t>
    </r>
    <r>
      <rPr>
        <b/>
        <vertAlign val="subscript"/>
        <sz val="11"/>
        <color theme="3"/>
        <rFont val="Calibri"/>
        <family val="2"/>
        <charset val="238"/>
      </rPr>
      <t>TCy</t>
    </r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</si>
  <si>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0M-RH</t>
    </r>
  </si>
  <si>
    <r>
      <t>g</t>
    </r>
    <r>
      <rPr>
        <vertAlign val="subscript"/>
        <sz val="11"/>
        <color theme="3"/>
        <rFont val="Calibri"/>
        <family val="2"/>
        <charset val="238"/>
        <scheme val="minor"/>
      </rPr>
      <t>M</t>
    </r>
  </si>
  <si>
    <r>
      <t>g</t>
    </r>
    <r>
      <rPr>
        <vertAlign val="subscript"/>
        <sz val="11"/>
        <color theme="3"/>
        <rFont val="Calibri"/>
        <family val="2"/>
        <charset val="238"/>
        <scheme val="minor"/>
      </rPr>
      <t>RH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</si>
  <si>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Thermal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</si>
  <si>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Tcy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</si>
  <si>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Mechanical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</si>
  <si>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RH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</si>
  <si>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induced</t>
    </r>
  </si>
  <si>
    <t>P</t>
  </si>
  <si>
    <t>Vol</t>
  </si>
  <si>
    <r>
      <t>t</t>
    </r>
    <r>
      <rPr>
        <b/>
        <vertAlign val="subscript"/>
        <sz val="11"/>
        <color theme="3"/>
        <rFont val="Calibri"/>
        <family val="2"/>
        <charset val="238"/>
        <scheme val="minor"/>
      </rPr>
      <t>annual</t>
    </r>
    <r>
      <rPr>
        <b/>
        <sz val="11"/>
        <color theme="3"/>
        <rFont val="Calibri"/>
        <family val="2"/>
        <charset val="238"/>
        <scheme val="minor"/>
      </rPr>
      <t xml:space="preserve"> [h]</t>
    </r>
  </si>
  <si>
    <r>
      <t>RH</t>
    </r>
    <r>
      <rPr>
        <b/>
        <vertAlign val="subscript"/>
        <sz val="11"/>
        <color theme="3"/>
        <rFont val="Calibri"/>
        <family val="2"/>
        <charset val="238"/>
        <scheme val="minor"/>
      </rPr>
      <t>ambient</t>
    </r>
    <r>
      <rPr>
        <b/>
        <sz val="11"/>
        <color theme="3"/>
        <rFont val="Calibri"/>
        <family val="2"/>
        <charset val="238"/>
        <scheme val="minor"/>
      </rPr>
      <t xml:space="preserve"> [%]</t>
    </r>
  </si>
  <si>
    <r>
      <t>T</t>
    </r>
    <r>
      <rPr>
        <b/>
        <vertAlign val="subscript"/>
        <sz val="11"/>
        <color theme="3"/>
        <rFont val="Calibri"/>
        <family val="2"/>
        <charset val="238"/>
        <scheme val="minor"/>
      </rPr>
      <t>board-ambient</t>
    </r>
    <r>
      <rPr>
        <b/>
        <sz val="11"/>
        <color theme="3"/>
        <rFont val="Calibri"/>
        <family val="2"/>
        <charset val="238"/>
        <scheme val="minor"/>
      </rPr>
      <t xml:space="preserve"> [°C]</t>
    </r>
  </si>
  <si>
    <r>
      <t>ΔT</t>
    </r>
    <r>
      <rPr>
        <b/>
        <vertAlign val="subscript"/>
        <sz val="11"/>
        <color theme="3"/>
        <rFont val="Calibri"/>
        <family val="2"/>
        <charset val="238"/>
      </rPr>
      <t>cycling</t>
    </r>
    <r>
      <rPr>
        <b/>
        <sz val="11"/>
        <color theme="3"/>
        <rFont val="Calibri"/>
        <family val="2"/>
        <charset val="238"/>
      </rPr>
      <t xml:space="preserve"> [°C]</t>
    </r>
  </si>
  <si>
    <r>
      <t>T</t>
    </r>
    <r>
      <rPr>
        <b/>
        <vertAlign val="subscript"/>
        <sz val="11"/>
        <color theme="3"/>
        <rFont val="Calibri"/>
        <family val="2"/>
        <charset val="238"/>
        <scheme val="minor"/>
      </rPr>
      <t>max-cycling</t>
    </r>
    <r>
      <rPr>
        <b/>
        <sz val="11"/>
        <color theme="3"/>
        <rFont val="Calibri"/>
        <family val="2"/>
        <charset val="238"/>
        <scheme val="minor"/>
      </rPr>
      <t xml:space="preserve"> [°C]</t>
    </r>
  </si>
  <si>
    <r>
      <t>N</t>
    </r>
    <r>
      <rPr>
        <b/>
        <vertAlign val="subscript"/>
        <sz val="11"/>
        <color theme="3"/>
        <rFont val="Calibri"/>
        <family val="2"/>
        <charset val="238"/>
        <scheme val="minor"/>
      </rPr>
      <t>annual_cy</t>
    </r>
    <r>
      <rPr>
        <b/>
        <sz val="11"/>
        <color theme="3"/>
        <rFont val="Calibri"/>
        <family val="2"/>
        <charset val="238"/>
        <scheme val="minor"/>
      </rPr>
      <t xml:space="preserve"> [cycles]</t>
    </r>
  </si>
  <si>
    <r>
      <t>θ</t>
    </r>
    <r>
      <rPr>
        <b/>
        <vertAlign val="subscript"/>
        <sz val="11"/>
        <color theme="3"/>
        <rFont val="Calibri"/>
        <family val="2"/>
        <charset val="238"/>
      </rPr>
      <t>cy</t>
    </r>
    <r>
      <rPr>
        <b/>
        <sz val="11"/>
        <color theme="3"/>
        <rFont val="Calibri"/>
        <family val="2"/>
        <charset val="238"/>
      </rPr>
      <t xml:space="preserve"> [h]</t>
    </r>
  </si>
  <si>
    <r>
      <t>G</t>
    </r>
    <r>
      <rPr>
        <b/>
        <vertAlign val="subscript"/>
        <sz val="11"/>
        <color theme="3"/>
        <rFont val="Calibri"/>
        <family val="2"/>
        <charset val="238"/>
        <scheme val="minor"/>
      </rPr>
      <t>RMS</t>
    </r>
    <r>
      <rPr>
        <b/>
        <sz val="11"/>
        <color theme="3"/>
        <rFont val="Calibri"/>
        <family val="2"/>
        <charset val="238"/>
        <scheme val="minor"/>
      </rPr>
      <t xml:space="preserve"> 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</si>
  <si>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Application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</si>
  <si>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Ruggedising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</si>
  <si>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Process</t>
    </r>
  </si>
  <si>
    <r>
      <t>C</t>
    </r>
    <r>
      <rPr>
        <vertAlign val="subscript"/>
        <sz val="11"/>
        <color theme="1"/>
        <rFont val="Calibri"/>
        <family val="2"/>
        <charset val="238"/>
        <scheme val="minor"/>
      </rPr>
      <t>STYL</t>
    </r>
  </si>
  <si>
    <r>
      <t>I</t>
    </r>
    <r>
      <rPr>
        <vertAlign val="subscript"/>
        <sz val="11"/>
        <color theme="1"/>
        <rFont val="Calibri"/>
        <family val="2"/>
        <charset val="238"/>
        <scheme val="minor"/>
      </rPr>
      <t>RMS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</si>
  <si>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RATED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</si>
  <si>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STYL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</si>
  <si>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TYPE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</si>
  <si>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RATED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</si>
  <si>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RMS</t>
    </r>
  </si>
  <si>
    <r>
      <t>C</t>
    </r>
    <r>
      <rPr>
        <b/>
        <vertAlign val="subscript"/>
        <sz val="11"/>
        <color theme="3"/>
        <rFont val="Calibri"/>
        <family val="2"/>
        <charset val="238"/>
        <scheme val="minor"/>
      </rPr>
      <t>STYL</t>
    </r>
  </si>
  <si>
    <r>
      <t>V</t>
    </r>
    <r>
      <rPr>
        <b/>
        <vertAlign val="subscript"/>
        <sz val="11"/>
        <color theme="3"/>
        <rFont val="Calibri"/>
        <family val="2"/>
        <charset val="238"/>
        <scheme val="minor"/>
      </rPr>
      <t>RATED</t>
    </r>
  </si>
  <si>
    <r>
      <t>V</t>
    </r>
    <r>
      <rPr>
        <b/>
        <vertAlign val="subscript"/>
        <sz val="11"/>
        <color theme="3"/>
        <rFont val="Calibri"/>
        <family val="2"/>
        <charset val="238"/>
        <scheme val="minor"/>
      </rPr>
      <t>RMS</t>
    </r>
  </si>
  <si>
    <r>
      <t>V</t>
    </r>
    <r>
      <rPr>
        <b/>
        <vertAlign val="subscript"/>
        <sz val="11"/>
        <color theme="3"/>
        <rFont val="Calibri"/>
        <family val="2"/>
        <charset val="238"/>
        <scheme val="minor"/>
      </rPr>
      <t>oper</t>
    </r>
    <r>
      <rPr>
        <b/>
        <sz val="11"/>
        <color theme="3"/>
        <rFont val="Calibri"/>
        <family val="2"/>
        <charset val="238"/>
        <scheme val="minor"/>
      </rPr>
      <t xml:space="preserve"> [V]</t>
    </r>
  </si>
  <si>
    <r>
      <t>C</t>
    </r>
    <r>
      <rPr>
        <b/>
        <vertAlign val="subscript"/>
        <sz val="11"/>
        <color theme="3"/>
        <rFont val="Calibri"/>
        <family val="2"/>
        <charset val="238"/>
        <scheme val="minor"/>
      </rPr>
      <t>sensitivity</t>
    </r>
  </si>
  <si>
    <r>
      <t>QA</t>
    </r>
    <r>
      <rPr>
        <b/>
        <vertAlign val="subscript"/>
        <sz val="11"/>
        <color theme="3"/>
        <rFont val="Calibri"/>
        <family val="2"/>
        <charset val="238"/>
        <scheme val="minor"/>
      </rPr>
      <t>component</t>
    </r>
  </si>
  <si>
    <r>
      <t>QA</t>
    </r>
    <r>
      <rPr>
        <b/>
        <vertAlign val="subscript"/>
        <sz val="11"/>
        <color theme="3"/>
        <rFont val="Calibri"/>
        <family val="2"/>
        <charset val="238"/>
        <scheme val="minor"/>
      </rPr>
      <t>manufacturer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</si>
  <si>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Placement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</si>
  <si>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PM</t>
    </r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</si>
  <si>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0-Capacitor</t>
    </r>
  </si>
  <si>
    <r>
      <t>S</t>
    </r>
    <r>
      <rPr>
        <b/>
        <vertAlign val="subscript"/>
        <sz val="11"/>
        <color theme="3"/>
        <rFont val="Calibri"/>
        <family val="2"/>
        <charset val="238"/>
        <scheme val="minor"/>
      </rPr>
      <t>reference</t>
    </r>
  </si>
  <si>
    <r>
      <rPr>
        <b/>
        <sz val="11"/>
        <color theme="3"/>
        <rFont val="Symbol"/>
        <family val="1"/>
        <charset val="2"/>
      </rPr>
      <t>g</t>
    </r>
    <r>
      <rPr>
        <b/>
        <vertAlign val="subscript"/>
        <sz val="11"/>
        <color theme="3"/>
        <rFont val="Calibri"/>
        <family val="2"/>
        <charset val="238"/>
        <scheme val="minor"/>
      </rPr>
      <t>TH_EL</t>
    </r>
  </si>
  <si>
    <r>
      <rPr>
        <b/>
        <sz val="11"/>
        <color theme="3"/>
        <rFont val="Symbol"/>
        <family val="1"/>
        <charset val="2"/>
      </rPr>
      <t>g</t>
    </r>
    <r>
      <rPr>
        <b/>
        <vertAlign val="subscript"/>
        <sz val="11"/>
        <color theme="3"/>
        <rFont val="Calibri"/>
        <family val="2"/>
        <charset val="238"/>
        <scheme val="minor"/>
      </rPr>
      <t>Tcy</t>
    </r>
  </si>
  <si>
    <r>
      <rPr>
        <b/>
        <sz val="11"/>
        <color theme="3"/>
        <rFont val="Symbol"/>
        <family val="1"/>
        <charset val="2"/>
      </rPr>
      <t>g</t>
    </r>
    <r>
      <rPr>
        <b/>
        <vertAlign val="subscript"/>
        <sz val="11"/>
        <color theme="3"/>
        <rFont val="Calibri"/>
        <family val="2"/>
        <charset val="238"/>
        <scheme val="minor"/>
      </rPr>
      <t>Mech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</si>
  <si>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Thermo-electrical</t>
    </r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</si>
  <si>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Phisical</t>
    </r>
  </si>
  <si>
    <r>
      <t>I</t>
    </r>
    <r>
      <rPr>
        <b/>
        <vertAlign val="subscript"/>
        <sz val="11"/>
        <color theme="3"/>
        <rFont val="Calibri"/>
        <family val="2"/>
        <charset val="238"/>
        <scheme val="minor"/>
      </rPr>
      <t>RMS</t>
    </r>
    <r>
      <rPr>
        <b/>
        <sz val="11"/>
        <color theme="3"/>
        <rFont val="Calibri"/>
        <family val="2"/>
        <charset val="238"/>
        <scheme val="minor"/>
      </rPr>
      <t xml:space="preserve"> [mA]</t>
    </r>
  </si>
  <si>
    <r>
      <t>P</t>
    </r>
    <r>
      <rPr>
        <b/>
        <vertAlign val="subscript"/>
        <sz val="11"/>
        <color theme="3"/>
        <rFont val="Calibri"/>
        <family val="2"/>
        <charset val="238"/>
        <scheme val="minor"/>
      </rPr>
      <t xml:space="preserve">act </t>
    </r>
    <r>
      <rPr>
        <b/>
        <sz val="11"/>
        <color theme="3"/>
        <rFont val="Calibri"/>
        <family val="2"/>
        <charset val="238"/>
        <scheme val="minor"/>
      </rPr>
      <t>[W]</t>
    </r>
  </si>
  <si>
    <r>
      <t>P</t>
    </r>
    <r>
      <rPr>
        <b/>
        <vertAlign val="subscript"/>
        <sz val="11"/>
        <color theme="3"/>
        <rFont val="Calibri"/>
        <family val="2"/>
        <charset val="238"/>
        <scheme val="minor"/>
      </rPr>
      <t>RATED</t>
    </r>
    <r>
      <rPr>
        <b/>
        <sz val="11"/>
        <color theme="3"/>
        <rFont val="Calibri"/>
        <family val="2"/>
        <charset val="238"/>
        <scheme val="minor"/>
      </rPr>
      <t xml:space="preserve"> [W]</t>
    </r>
  </si>
  <si>
    <r>
      <t>R</t>
    </r>
    <r>
      <rPr>
        <b/>
        <vertAlign val="subscript"/>
        <sz val="11"/>
        <color theme="3"/>
        <rFont val="Calibri"/>
        <family val="2"/>
        <charset val="238"/>
        <scheme val="minor"/>
      </rPr>
      <t>STYL</t>
    </r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</si>
  <si>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0-Resistor</t>
    </r>
  </si>
  <si>
    <r>
      <rPr>
        <b/>
        <sz val="11"/>
        <color theme="3"/>
        <rFont val="Symbol"/>
        <family val="1"/>
        <charset val="2"/>
      </rPr>
      <t>g</t>
    </r>
    <r>
      <rPr>
        <b/>
        <vertAlign val="subscript"/>
        <sz val="11"/>
        <color theme="3"/>
        <rFont val="Calibri"/>
        <family val="2"/>
        <charset val="238"/>
        <scheme val="minor"/>
      </rPr>
      <t>TH-EL</t>
    </r>
  </si>
  <si>
    <r>
      <rPr>
        <b/>
        <sz val="11"/>
        <color theme="3"/>
        <rFont val="Symbol"/>
        <family val="1"/>
        <charset val="2"/>
      </rPr>
      <t>g</t>
    </r>
    <r>
      <rPr>
        <b/>
        <vertAlign val="subscript"/>
        <sz val="11"/>
        <color theme="3"/>
        <rFont val="Calibri"/>
        <family val="2"/>
        <charset val="238"/>
        <scheme val="minor"/>
      </rPr>
      <t>RH</t>
    </r>
  </si>
  <si>
    <r>
      <t>V</t>
    </r>
    <r>
      <rPr>
        <b/>
        <vertAlign val="subscript"/>
        <sz val="11"/>
        <color theme="3"/>
        <rFont val="Calibri"/>
        <family val="2"/>
        <charset val="238"/>
        <scheme val="minor"/>
      </rPr>
      <t>oper</t>
    </r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</si>
  <si>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0TH</t>
    </r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</si>
  <si>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0RH</t>
    </r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</si>
  <si>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0Tcy_Case</t>
    </r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</si>
  <si>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0Tcy_Solder_joints</t>
    </r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</si>
  <si>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0Mechanical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</si>
  <si>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Tcy Case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</si>
  <si>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Tcy Solder joints</t>
    </r>
  </si>
  <si>
    <t>Basic failure rate associated with chip and cases</t>
  </si>
  <si>
    <t>Basic failure rate associated with the chip and cases</t>
  </si>
  <si>
    <t>NP.</t>
  </si>
  <si>
    <t>Basic failure rates associated with the chip and cases</t>
  </si>
  <si>
    <t>Basic failure rate associated with the subassembly</t>
  </si>
  <si>
    <t>LEDs</t>
  </si>
  <si>
    <t>DC/DC converter</t>
  </si>
  <si>
    <r>
      <rPr>
        <b/>
        <sz val="11"/>
        <color theme="3"/>
        <rFont val="Symbol"/>
        <family val="1"/>
        <charset val="2"/>
      </rPr>
      <t>l</t>
    </r>
    <r>
      <rPr>
        <vertAlign val="subscript"/>
        <sz val="11"/>
        <color theme="3"/>
        <rFont val="Calibri"/>
        <family val="2"/>
        <charset val="238"/>
        <scheme val="minor"/>
      </rPr>
      <t>0_Magnetic</t>
    </r>
  </si>
  <si>
    <t>Activation energies [eV]</t>
  </si>
  <si>
    <r>
      <rPr>
        <b/>
        <sz val="11"/>
        <color theme="3"/>
        <rFont val="Symbol"/>
        <family val="1"/>
        <charset val="2"/>
      </rPr>
      <t>g</t>
    </r>
    <r>
      <rPr>
        <b/>
        <vertAlign val="subscript"/>
        <sz val="11"/>
        <color theme="3"/>
        <rFont val="Calibri"/>
        <family val="2"/>
        <charset val="238"/>
      </rPr>
      <t>TH-EL</t>
    </r>
  </si>
  <si>
    <r>
      <t>D</t>
    </r>
    <r>
      <rPr>
        <sz val="11"/>
        <color theme="3"/>
        <rFont val="Calibri"/>
        <family val="2"/>
        <charset val="238"/>
        <scheme val="minor"/>
      </rPr>
      <t>T [</t>
    </r>
    <r>
      <rPr>
        <sz val="11"/>
        <color theme="3"/>
        <rFont val="Symbol"/>
        <family val="1"/>
        <charset val="2"/>
      </rPr>
      <t>°</t>
    </r>
    <r>
      <rPr>
        <sz val="11"/>
        <color theme="3"/>
        <rFont val="Calibri"/>
        <family val="2"/>
        <charset val="238"/>
      </rPr>
      <t>C]</t>
    </r>
  </si>
  <si>
    <r>
      <rPr>
        <b/>
        <sz val="11"/>
        <color theme="3"/>
        <rFont val="Symbol"/>
        <family val="1"/>
        <charset val="2"/>
      </rPr>
      <t>g</t>
    </r>
    <r>
      <rPr>
        <b/>
        <vertAlign val="subscript"/>
        <sz val="11"/>
        <color theme="3"/>
        <rFont val="Calibri"/>
        <family val="2"/>
        <charset val="238"/>
        <scheme val="minor"/>
      </rPr>
      <t>MECH</t>
    </r>
  </si>
  <si>
    <t>Basic failure rates associated with the component</t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</si>
  <si>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Placemnet</t>
    </r>
  </si>
  <si>
    <r>
      <t>C</t>
    </r>
    <r>
      <rPr>
        <b/>
        <vertAlign val="subscript"/>
        <sz val="11"/>
        <color theme="3"/>
        <rFont val="Calibri"/>
        <family val="2"/>
        <charset val="238"/>
        <scheme val="minor"/>
      </rPr>
      <t>TH</t>
    </r>
  </si>
  <si>
    <r>
      <t>C</t>
    </r>
    <r>
      <rPr>
        <b/>
        <vertAlign val="subscript"/>
        <sz val="11"/>
        <color theme="3"/>
        <rFont val="Calibri"/>
        <family val="2"/>
        <charset val="238"/>
        <scheme val="minor"/>
      </rPr>
      <t>Tcy</t>
    </r>
  </si>
  <si>
    <r>
      <t>C</t>
    </r>
    <r>
      <rPr>
        <b/>
        <vertAlign val="subscript"/>
        <sz val="11"/>
        <color theme="3"/>
        <rFont val="Calibri"/>
        <family val="2"/>
        <charset val="238"/>
        <scheme val="minor"/>
      </rPr>
      <t>ME</t>
    </r>
  </si>
  <si>
    <r>
      <t>C</t>
    </r>
    <r>
      <rPr>
        <b/>
        <vertAlign val="subscript"/>
        <sz val="11"/>
        <color theme="3"/>
        <rFont val="Calibri"/>
        <family val="2"/>
        <charset val="238"/>
        <scheme val="minor"/>
      </rPr>
      <t>RH</t>
    </r>
  </si>
  <si>
    <r>
      <t>C</t>
    </r>
    <r>
      <rPr>
        <b/>
        <vertAlign val="subscript"/>
        <sz val="11"/>
        <color theme="3"/>
        <rFont val="Calibri"/>
        <family val="2"/>
        <charset val="238"/>
        <scheme val="minor"/>
      </rPr>
      <t>EL</t>
    </r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</si>
  <si>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0switch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</si>
  <si>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Electrical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</si>
  <si>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 xml:space="preserve">Tcy </t>
    </r>
  </si>
  <si>
    <r>
      <t>λ</t>
    </r>
    <r>
      <rPr>
        <b/>
        <vertAlign val="subscript"/>
        <sz val="11"/>
        <color theme="3"/>
        <rFont val="Calibri"/>
        <family val="2"/>
        <charset val="238"/>
      </rPr>
      <t>type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</si>
  <si>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report</t>
    </r>
  </si>
  <si>
    <r>
      <t>N</t>
    </r>
    <r>
      <rPr>
        <b/>
        <vertAlign val="subscript"/>
        <sz val="11"/>
        <color theme="3"/>
        <rFont val="Calibri"/>
        <family val="2"/>
        <charset val="238"/>
        <scheme val="minor"/>
      </rPr>
      <t>contacts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</si>
  <si>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contact</t>
    </r>
  </si>
  <si>
    <r>
      <t>N</t>
    </r>
    <r>
      <rPr>
        <b/>
        <vertAlign val="subscript"/>
        <sz val="11"/>
        <color theme="3"/>
        <rFont val="Calibri"/>
        <family val="2"/>
        <charset val="238"/>
        <scheme val="minor"/>
      </rPr>
      <t>annual_cycles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</si>
  <si>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cycles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</si>
  <si>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sal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</si>
  <si>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prot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</si>
  <si>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zone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</si>
  <si>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envir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</si>
  <si>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Chemical</t>
    </r>
  </si>
  <si>
    <r>
      <rPr>
        <b/>
        <sz val="11"/>
        <color theme="3"/>
        <rFont val="Calibri"/>
        <family val="2"/>
        <charset val="238"/>
      </rPr>
      <t>Π</t>
    </r>
    <r>
      <rPr>
        <b/>
        <vertAlign val="subscript"/>
        <sz val="11"/>
        <color theme="3"/>
        <rFont val="Calibri"/>
        <family val="2"/>
        <charset val="238"/>
      </rPr>
      <t>sal</t>
    </r>
  </si>
  <si>
    <r>
      <t>I</t>
    </r>
    <r>
      <rPr>
        <b/>
        <vertAlign val="subscript"/>
        <sz val="11"/>
        <color theme="3"/>
        <rFont val="Calibri"/>
        <family val="2"/>
        <charset val="238"/>
        <scheme val="minor"/>
      </rPr>
      <t>applied</t>
    </r>
    <r>
      <rPr>
        <b/>
        <sz val="11"/>
        <color theme="3"/>
        <rFont val="Calibri"/>
        <family val="2"/>
        <charset val="238"/>
        <scheme val="minor"/>
      </rPr>
      <t>[mA]</t>
    </r>
  </si>
  <si>
    <r>
      <t>I</t>
    </r>
    <r>
      <rPr>
        <b/>
        <vertAlign val="subscript"/>
        <sz val="11"/>
        <color theme="3"/>
        <rFont val="Calibri"/>
        <family val="2"/>
        <charset val="238"/>
        <scheme val="minor"/>
      </rPr>
      <t>rated</t>
    </r>
    <r>
      <rPr>
        <b/>
        <sz val="11"/>
        <color theme="3"/>
        <rFont val="Calibri"/>
        <family val="2"/>
        <charset val="238"/>
        <scheme val="minor"/>
      </rPr>
      <t>[mA]</t>
    </r>
  </si>
  <si>
    <r>
      <rPr>
        <b/>
        <sz val="11"/>
        <color theme="3"/>
        <rFont val="Symbol"/>
        <family val="1"/>
        <charset val="2"/>
      </rPr>
      <t>l</t>
    </r>
    <r>
      <rPr>
        <vertAlign val="subscript"/>
        <sz val="11"/>
        <color theme="3"/>
        <rFont val="Calibri"/>
        <family val="2"/>
        <charset val="238"/>
        <scheme val="minor"/>
      </rPr>
      <t>0_fuse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</si>
  <si>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CHI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</si>
  <si>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Induced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</si>
  <si>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thermal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</si>
  <si>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Tcy</t>
    </r>
    <r>
      <rPr>
        <b/>
        <sz val="11"/>
        <color theme="3"/>
        <rFont val="Calibri"/>
        <family val="2"/>
        <charset val="238"/>
        <scheme val="minor"/>
      </rPr>
      <t xml:space="preserve"> </t>
    </r>
  </si>
  <si>
    <r>
      <t>N</t>
    </r>
    <r>
      <rPr>
        <b/>
        <vertAlign val="subscript"/>
        <sz val="11"/>
        <color theme="3"/>
        <rFont val="Calibri"/>
        <family val="2"/>
        <charset val="238"/>
      </rPr>
      <t>layers</t>
    </r>
  </si>
  <si>
    <r>
      <t>N</t>
    </r>
    <r>
      <rPr>
        <b/>
        <vertAlign val="subscript"/>
        <sz val="11"/>
        <color theme="3"/>
        <rFont val="Calibri"/>
        <family val="2"/>
        <charset val="238"/>
        <scheme val="minor"/>
      </rPr>
      <t>connection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</si>
  <si>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Techno-PCB</t>
    </r>
  </si>
  <si>
    <r>
      <t>Π</t>
    </r>
    <r>
      <rPr>
        <b/>
        <vertAlign val="subscript"/>
        <sz val="11"/>
        <color theme="3"/>
        <rFont val="Calibri"/>
        <family val="2"/>
        <charset val="238"/>
        <scheme val="minor"/>
      </rPr>
      <t>class</t>
    </r>
  </si>
  <si>
    <r>
      <t>λ</t>
    </r>
    <r>
      <rPr>
        <b/>
        <vertAlign val="subscript"/>
        <sz val="11"/>
        <color theme="3"/>
        <rFont val="Calibri"/>
        <family val="2"/>
        <charset val="238"/>
        <scheme val="minor"/>
      </rPr>
      <t>0PCB</t>
    </r>
  </si>
  <si>
    <t>Ceramic Capacitors</t>
  </si>
  <si>
    <t>Discrete semiconductors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</si>
</sst>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3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00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vertAlign val="subscript"/>
      <sz val="11"/>
      <color theme="3"/>
      <name val="Calibri"/>
      <family val="2"/>
      <charset val="238"/>
      <scheme val="minor"/>
    </font>
    <font>
      <b/>
      <sz val="11"/>
      <color theme="3"/>
      <name val="Symbol"/>
      <family val="1"/>
      <charset val="2"/>
    </font>
    <font>
      <b/>
      <vertAlign val="subscript"/>
      <sz val="11"/>
      <color theme="3"/>
      <name val="Calibri"/>
      <family val="2"/>
      <charset val="238"/>
    </font>
    <font>
      <vertAlign val="subscript"/>
      <sz val="11"/>
      <color theme="3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1"/>
      <color theme="3"/>
      <name val="Symbol"/>
      <family val="1"/>
      <charset val="2"/>
    </font>
    <font>
      <sz val="11"/>
      <color theme="3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4506668294322"/>
      </bottom>
      <diagonal/>
    </border>
    <border>
      <left style="thin">
        <color indexed="64"/>
      </left>
      <right/>
      <top style="thin">
        <color indexed="64"/>
      </top>
      <bottom style="medium">
        <color theme="4" tint="0.399945066682943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4" tint="0.399945066682943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4" tint="0.39994506668294322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0.39994506668294322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theme="4" tint="0.399945066682943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4" tint="0.399945066682943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7">
    <xf numFmtId="0" fontId="0" fillId="0" borderId="0" xfId="0"/>
    <xf numFmtId="0" fontId="5" fillId="0" borderId="3" xfId="4"/>
    <xf numFmtId="0" fontId="0" fillId="0" borderId="10" xfId="0" applyBorder="1"/>
    <xf numFmtId="0" fontId="0" fillId="0" borderId="11" xfId="0" applyBorder="1"/>
    <xf numFmtId="0" fontId="5" fillId="0" borderId="12" xfId="4" applyBorder="1"/>
    <xf numFmtId="0" fontId="5" fillId="0" borderId="13" xfId="4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5" fillId="0" borderId="3" xfId="4" applyAlignment="1">
      <alignment wrapText="1"/>
    </xf>
    <xf numFmtId="0" fontId="11" fillId="6" borderId="10" xfId="11" applyBorder="1"/>
    <xf numFmtId="0" fontId="11" fillId="6" borderId="14" xfId="11" applyBorder="1"/>
    <xf numFmtId="0" fontId="11" fillId="6" borderId="15" xfId="11" applyBorder="1"/>
    <xf numFmtId="0" fontId="11" fillId="6" borderId="16" xfId="11" applyBorder="1"/>
    <xf numFmtId="0" fontId="11" fillId="6" borderId="17" xfId="11" applyBorder="1"/>
    <xf numFmtId="0" fontId="11" fillId="6" borderId="18" xfId="11" applyBorder="1"/>
    <xf numFmtId="0" fontId="16" fillId="0" borderId="9" xfId="17"/>
    <xf numFmtId="0" fontId="0" fillId="0" borderId="0" xfId="0" applyBorder="1" applyAlignment="1"/>
    <xf numFmtId="0" fontId="0" fillId="0" borderId="23" xfId="0" applyBorder="1" applyAlignment="1"/>
    <xf numFmtId="0" fontId="0" fillId="0" borderId="22" xfId="0" applyBorder="1" applyAlignment="1"/>
    <xf numFmtId="0" fontId="0" fillId="0" borderId="0" xfId="0" applyAlignment="1">
      <alignment wrapText="1"/>
    </xf>
    <xf numFmtId="0" fontId="0" fillId="33" borderId="10" xfId="0" applyFill="1" applyBorder="1"/>
    <xf numFmtId="0" fontId="16" fillId="0" borderId="27" xfId="17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1" xfId="0" applyFill="1" applyBorder="1"/>
    <xf numFmtId="0" fontId="5" fillId="33" borderId="10" xfId="4" applyFill="1" applyBorder="1" applyAlignment="1">
      <alignment wrapText="1"/>
    </xf>
    <xf numFmtId="0" fontId="5" fillId="0" borderId="15" xfId="4" applyBorder="1" applyAlignment="1">
      <alignment wrapText="1"/>
    </xf>
    <xf numFmtId="0" fontId="0" fillId="0" borderId="0" xfId="0" applyFont="1"/>
    <xf numFmtId="0" fontId="22" fillId="0" borderId="10" xfId="0" quotePrefix="1" applyFont="1" applyBorder="1"/>
    <xf numFmtId="0" fontId="0" fillId="34" borderId="10" xfId="0" applyFill="1" applyBorder="1"/>
    <xf numFmtId="0" fontId="22" fillId="0" borderId="10" xfId="0" applyFont="1" applyFill="1" applyBorder="1"/>
    <xf numFmtId="0" fontId="0" fillId="0" borderId="10" xfId="0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0" xfId="0" applyFill="1"/>
    <xf numFmtId="0" fontId="10" fillId="0" borderId="10" xfId="10" applyFill="1" applyBorder="1"/>
    <xf numFmtId="0" fontId="9" fillId="0" borderId="10" xfId="9" applyFill="1" applyBorder="1"/>
    <xf numFmtId="0" fontId="0" fillId="0" borderId="0" xfId="0" applyBorder="1"/>
    <xf numFmtId="0" fontId="0" fillId="0" borderId="48" xfId="0" applyBorder="1"/>
    <xf numFmtId="0" fontId="0" fillId="0" borderId="47" xfId="0" applyBorder="1"/>
    <xf numFmtId="0" fontId="0" fillId="0" borderId="28" xfId="0" applyFill="1" applyBorder="1"/>
    <xf numFmtId="0" fontId="21" fillId="0" borderId="10" xfId="0" applyFont="1" applyFill="1" applyBorder="1"/>
    <xf numFmtId="0" fontId="5" fillId="34" borderId="34" xfId="4" applyFill="1" applyBorder="1"/>
    <xf numFmtId="0" fontId="5" fillId="34" borderId="35" xfId="4" applyFill="1" applyBorder="1" applyAlignment="1">
      <alignment wrapText="1"/>
    </xf>
    <xf numFmtId="0" fontId="5" fillId="34" borderId="35" xfId="4" applyFill="1" applyBorder="1"/>
    <xf numFmtId="0" fontId="5" fillId="34" borderId="10" xfId="4" applyFill="1" applyBorder="1"/>
    <xf numFmtId="0" fontId="18" fillId="34" borderId="10" xfId="4" applyFont="1" applyFill="1" applyBorder="1"/>
    <xf numFmtId="0" fontId="10" fillId="35" borderId="39" xfId="10" applyFill="1" applyBorder="1"/>
    <xf numFmtId="0" fontId="10" fillId="35" borderId="5" xfId="10" applyFill="1"/>
    <xf numFmtId="0" fontId="16" fillId="35" borderId="9" xfId="17" applyFill="1"/>
    <xf numFmtId="0" fontId="10" fillId="35" borderId="28" xfId="10" applyFill="1" applyBorder="1"/>
    <xf numFmtId="0" fontId="10" fillId="35" borderId="10" xfId="10" applyFill="1" applyBorder="1"/>
    <xf numFmtId="0" fontId="16" fillId="35" borderId="27" xfId="17" applyFill="1" applyBorder="1"/>
    <xf numFmtId="0" fontId="0" fillId="0" borderId="10" xfId="0" quotePrefix="1" applyFill="1" applyBorder="1"/>
    <xf numFmtId="0" fontId="0" fillId="0" borderId="28" xfId="0" quotePrefix="1" applyFill="1" applyBorder="1"/>
    <xf numFmtId="0" fontId="5" fillId="0" borderId="34" xfId="4" applyFill="1" applyBorder="1"/>
    <xf numFmtId="0" fontId="5" fillId="0" borderId="36" xfId="4" applyFill="1" applyBorder="1"/>
    <xf numFmtId="0" fontId="5" fillId="0" borderId="34" xfId="4" applyFill="1" applyBorder="1" applyAlignment="1">
      <alignment wrapText="1"/>
    </xf>
    <xf numFmtId="0" fontId="5" fillId="0" borderId="31" xfId="4" applyFill="1" applyBorder="1"/>
    <xf numFmtId="0" fontId="5" fillId="0" borderId="15" xfId="4" applyFill="1" applyBorder="1"/>
    <xf numFmtId="0" fontId="5" fillId="0" borderId="35" xfId="4" applyFill="1" applyBorder="1" applyAlignment="1">
      <alignment wrapText="1"/>
    </xf>
    <xf numFmtId="0" fontId="5" fillId="0" borderId="14" xfId="4" applyFill="1" applyBorder="1" applyAlignment="1">
      <alignment wrapText="1"/>
    </xf>
    <xf numFmtId="0" fontId="5" fillId="0" borderId="37" xfId="4" applyFill="1" applyBorder="1"/>
    <xf numFmtId="0" fontId="5" fillId="0" borderId="10" xfId="4" applyFill="1" applyBorder="1" applyAlignment="1">
      <alignment wrapText="1"/>
    </xf>
    <xf numFmtId="0" fontId="5" fillId="0" borderId="49" xfId="4" applyFill="1" applyBorder="1"/>
    <xf numFmtId="0" fontId="5" fillId="0" borderId="35" xfId="4" applyFill="1" applyBorder="1"/>
    <xf numFmtId="0" fontId="5" fillId="0" borderId="36" xfId="4" applyFill="1" applyBorder="1" applyAlignment="1">
      <alignment wrapText="1"/>
    </xf>
    <xf numFmtId="0" fontId="10" fillId="0" borderId="34" xfId="10" applyFill="1" applyBorder="1"/>
    <xf numFmtId="0" fontId="18" fillId="0" borderId="34" xfId="4" applyFont="1" applyFill="1" applyBorder="1" applyAlignment="1">
      <alignment wrapText="1"/>
    </xf>
    <xf numFmtId="0" fontId="5" fillId="0" borderId="11" xfId="4" applyFill="1" applyBorder="1" applyAlignment="1">
      <alignment wrapText="1"/>
    </xf>
    <xf numFmtId="0" fontId="5" fillId="0" borderId="34" xfId="4" applyFill="1" applyBorder="1" applyAlignment="1">
      <alignment horizontal="center" wrapText="1"/>
    </xf>
    <xf numFmtId="0" fontId="10" fillId="0" borderId="40" xfId="10" applyFill="1" applyBorder="1"/>
    <xf numFmtId="0" fontId="5" fillId="0" borderId="37" xfId="4" applyFill="1" applyBorder="1" applyAlignment="1">
      <alignment wrapText="1"/>
    </xf>
    <xf numFmtId="0" fontId="5" fillId="0" borderId="15" xfId="4" applyFill="1" applyBorder="1" applyAlignment="1">
      <alignment wrapText="1"/>
    </xf>
    <xf numFmtId="0" fontId="23" fillId="0" borderId="34" xfId="4" applyFont="1" applyFill="1" applyBorder="1" applyAlignment="1">
      <alignment wrapText="1"/>
    </xf>
    <xf numFmtId="0" fontId="5" fillId="0" borderId="10" xfId="4" applyFill="1" applyBorder="1"/>
    <xf numFmtId="0" fontId="18" fillId="0" borderId="36" xfId="4" applyFont="1" applyFill="1" applyBorder="1" applyAlignment="1">
      <alignment wrapText="1"/>
    </xf>
    <xf numFmtId="0" fontId="18" fillId="0" borderId="37" xfId="4" applyFont="1" applyFill="1" applyBorder="1"/>
    <xf numFmtId="0" fontId="5" fillId="0" borderId="14" xfId="4" applyFill="1" applyBorder="1"/>
    <xf numFmtId="0" fontId="5" fillId="0" borderId="48" xfId="4" applyFill="1" applyBorder="1"/>
    <xf numFmtId="0" fontId="5" fillId="0" borderId="38" xfId="4" applyFill="1" applyBorder="1"/>
    <xf numFmtId="0" fontId="0" fillId="0" borderId="0" xfId="0"/>
    <xf numFmtId="0" fontId="24" fillId="0" borderId="34" xfId="4" applyFont="1" applyFill="1" applyBorder="1" applyAlignment="1">
      <alignment wrapText="1"/>
    </xf>
    <xf numFmtId="0" fontId="18" fillId="0" borderId="38" xfId="4" applyFont="1" applyFill="1" applyBorder="1" applyAlignment="1">
      <alignment wrapText="1"/>
    </xf>
    <xf numFmtId="0" fontId="10" fillId="0" borderId="51" xfId="10" applyFill="1" applyBorder="1"/>
    <xf numFmtId="0" fontId="18" fillId="0" borderId="10" xfId="4" applyFont="1" applyFill="1" applyBorder="1" applyAlignment="1">
      <alignment wrapText="1"/>
    </xf>
    <xf numFmtId="0" fontId="5" fillId="0" borderId="53" xfId="4" applyFill="1" applyBorder="1"/>
    <xf numFmtId="0" fontId="5" fillId="0" borderId="50" xfId="4" applyFill="1" applyBorder="1" applyAlignment="1">
      <alignment wrapText="1"/>
    </xf>
    <xf numFmtId="0" fontId="5" fillId="0" borderId="11" xfId="4" applyBorder="1"/>
    <xf numFmtId="0" fontId="5" fillId="0" borderId="51" xfId="4" applyFill="1" applyBorder="1" applyAlignment="1">
      <alignment wrapText="1"/>
    </xf>
    <xf numFmtId="0" fontId="24" fillId="0" borderId="37" xfId="4" applyFont="1" applyFill="1" applyBorder="1" applyAlignment="1">
      <alignment wrapText="1"/>
    </xf>
    <xf numFmtId="0" fontId="5" fillId="0" borderId="52" xfId="4" applyFill="1" applyBorder="1" applyAlignment="1">
      <alignment wrapText="1"/>
    </xf>
    <xf numFmtId="0" fontId="0" fillId="0" borderId="10" xfId="0" applyBorder="1"/>
    <xf numFmtId="0" fontId="22" fillId="0" borderId="10" xfId="0" quotePrefix="1" applyFont="1" applyBorder="1"/>
    <xf numFmtId="0" fontId="18" fillId="0" borderId="10" xfId="4" applyFont="1" applyBorder="1"/>
    <xf numFmtId="0" fontId="5" fillId="0" borderId="48" xfId="4" applyBorder="1"/>
    <xf numFmtId="0" fontId="0" fillId="35" borderId="10" xfId="0" applyFill="1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0" borderId="27" xfId="17" applyBorder="1"/>
    <xf numFmtId="0" fontId="0" fillId="0" borderId="31" xfId="0" applyBorder="1"/>
    <xf numFmtId="0" fontId="0" fillId="0" borderId="48" xfId="0" applyBorder="1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0" borderId="9" xfId="17"/>
    <xf numFmtId="0" fontId="16" fillId="0" borderId="27" xfId="17" applyBorder="1"/>
    <xf numFmtId="0" fontId="5" fillId="0" borderId="10" xfId="4" applyBorder="1" applyAlignment="1">
      <alignment wrapText="1"/>
    </xf>
    <xf numFmtId="0" fontId="0" fillId="0" borderId="30" xfId="0" applyBorder="1"/>
    <xf numFmtId="0" fontId="0" fillId="0" borderId="31" xfId="0" applyBorder="1"/>
    <xf numFmtId="0" fontId="5" fillId="0" borderId="11" xfId="4" applyBorder="1" applyAlignment="1">
      <alignment wrapText="1"/>
    </xf>
    <xf numFmtId="0" fontId="5" fillId="0" borderId="14" xfId="4" applyBorder="1" applyAlignment="1">
      <alignment wrapText="1"/>
    </xf>
    <xf numFmtId="0" fontId="5" fillId="0" borderId="15" xfId="4" applyBorder="1" applyAlignment="1">
      <alignment wrapText="1"/>
    </xf>
    <xf numFmtId="0" fontId="5" fillId="33" borderId="10" xfId="4" applyFill="1" applyBorder="1"/>
    <xf numFmtId="0" fontId="5" fillId="0" borderId="10" xfId="4" applyBorder="1"/>
    <xf numFmtId="0" fontId="5" fillId="0" borderId="31" xfId="4" applyBorder="1"/>
    <xf numFmtId="0" fontId="5" fillId="0" borderId="14" xfId="4" applyBorder="1"/>
    <xf numFmtId="0" fontId="5" fillId="0" borderId="15" xfId="4" applyBorder="1"/>
    <xf numFmtId="0" fontId="0" fillId="0" borderId="48" xfId="0" applyBorder="1"/>
    <xf numFmtId="0" fontId="22" fillId="0" borderId="10" xfId="0" quotePrefix="1" applyFont="1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5" fillId="0" borderId="34" xfId="4" applyBorder="1"/>
    <xf numFmtId="0" fontId="5" fillId="0" borderId="38" xfId="4" applyBorder="1"/>
    <xf numFmtId="0" fontId="5" fillId="0" borderId="36" xfId="4" applyBorder="1" applyAlignment="1">
      <alignment wrapText="1"/>
    </xf>
    <xf numFmtId="0" fontId="5" fillId="0" borderId="34" xfId="4" applyBorder="1" applyAlignment="1">
      <alignment wrapText="1"/>
    </xf>
    <xf numFmtId="0" fontId="5" fillId="0" borderId="37" xfId="4" applyBorder="1" applyAlignment="1">
      <alignment wrapText="1"/>
    </xf>
    <xf numFmtId="0" fontId="5" fillId="0" borderId="11" xfId="4" applyBorder="1" applyAlignment="1">
      <alignment wrapText="1"/>
    </xf>
    <xf numFmtId="0" fontId="5" fillId="33" borderId="10" xfId="4" applyFill="1" applyBorder="1"/>
    <xf numFmtId="0" fontId="5" fillId="0" borderId="10" xfId="4" applyBorder="1"/>
    <xf numFmtId="0" fontId="5" fillId="0" borderId="31" xfId="4" applyBorder="1"/>
    <xf numFmtId="0" fontId="5" fillId="0" borderId="14" xfId="4" applyBorder="1"/>
    <xf numFmtId="0" fontId="5" fillId="0" borderId="15" xfId="4" applyBorder="1"/>
    <xf numFmtId="0" fontId="0" fillId="0" borderId="42" xfId="0" applyBorder="1"/>
    <xf numFmtId="0" fontId="22" fillId="0" borderId="10" xfId="0" quotePrefix="1" applyFont="1" applyBorder="1"/>
    <xf numFmtId="0" fontId="25" fillId="0" borderId="10" xfId="4" applyFont="1" applyBorder="1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0" borderId="9" xfId="17"/>
    <xf numFmtId="0" fontId="5" fillId="0" borderId="10" xfId="4" applyBorder="1" applyAlignment="1">
      <alignment wrapText="1"/>
    </xf>
    <xf numFmtId="0" fontId="0" fillId="0" borderId="31" xfId="0" applyBorder="1"/>
    <xf numFmtId="0" fontId="5" fillId="0" borderId="11" xfId="4" applyBorder="1" applyAlignment="1">
      <alignment wrapText="1"/>
    </xf>
    <xf numFmtId="0" fontId="5" fillId="0" borderId="14" xfId="4" applyBorder="1" applyAlignment="1">
      <alignment wrapText="1"/>
    </xf>
    <xf numFmtId="0" fontId="5" fillId="0" borderId="15" xfId="4" applyBorder="1" applyAlignment="1">
      <alignment wrapText="1"/>
    </xf>
    <xf numFmtId="0" fontId="5" fillId="33" borderId="10" xfId="4" applyFill="1" applyBorder="1"/>
    <xf numFmtId="0" fontId="5" fillId="0" borderId="10" xfId="4" applyBorder="1"/>
    <xf numFmtId="0" fontId="5" fillId="0" borderId="31" xfId="4" applyBorder="1"/>
    <xf numFmtId="0" fontId="5" fillId="0" borderId="14" xfId="4" applyBorder="1"/>
    <xf numFmtId="0" fontId="5" fillId="0" borderId="15" xfId="4" applyBorder="1"/>
    <xf numFmtId="0" fontId="0" fillId="0" borderId="0" xfId="0" applyBorder="1"/>
    <xf numFmtId="0" fontId="5" fillId="0" borderId="0" xfId="4" applyBorder="1"/>
    <xf numFmtId="0" fontId="22" fillId="0" borderId="10" xfId="0" quotePrefix="1" applyFont="1" applyBorder="1"/>
    <xf numFmtId="0" fontId="10" fillId="0" borderId="5" xfId="10" applyFill="1" applyAlignment="1">
      <alignment wrapText="1"/>
    </xf>
    <xf numFmtId="0" fontId="0" fillId="0" borderId="10" xfId="0" applyBorder="1"/>
    <xf numFmtId="0" fontId="5" fillId="0" borderId="10" xfId="4" applyBorder="1" applyAlignment="1">
      <alignment wrapText="1"/>
    </xf>
    <xf numFmtId="0" fontId="18" fillId="0" borderId="10" xfId="4" applyFont="1" applyBorder="1" applyAlignment="1">
      <alignment wrapText="1"/>
    </xf>
    <xf numFmtId="0" fontId="5" fillId="0" borderId="11" xfId="4" applyBorder="1" applyAlignment="1">
      <alignment wrapText="1"/>
    </xf>
    <xf numFmtId="0" fontId="5" fillId="0" borderId="31" xfId="4" applyBorder="1" applyAlignment="1">
      <alignment wrapText="1"/>
    </xf>
    <xf numFmtId="0" fontId="5" fillId="0" borderId="14" xfId="4" applyBorder="1" applyAlignment="1">
      <alignment wrapText="1"/>
    </xf>
    <xf numFmtId="0" fontId="5" fillId="0" borderId="15" xfId="4" applyBorder="1" applyAlignment="1">
      <alignment wrapText="1"/>
    </xf>
    <xf numFmtId="0" fontId="5" fillId="0" borderId="10" xfId="4" applyBorder="1"/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5" xfId="0" applyBorder="1"/>
    <xf numFmtId="0" fontId="0" fillId="0" borderId="46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0" fillId="0" borderId="19" xfId="1" applyFont="1" applyBorder="1" applyAlignment="1">
      <alignment horizontal="center"/>
    </xf>
    <xf numFmtId="0" fontId="20" fillId="0" borderId="20" xfId="1" applyFont="1" applyBorder="1" applyAlignment="1">
      <alignment horizontal="center"/>
    </xf>
    <xf numFmtId="0" fontId="20" fillId="0" borderId="21" xfId="1" applyFont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23</xdr:row>
      <xdr:rowOff>0</xdr:rowOff>
    </xdr:from>
    <xdr:to>
      <xdr:col>30</xdr:col>
      <xdr:colOff>619125</xdr:colOff>
      <xdr:row>31</xdr:row>
      <xdr:rowOff>161925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29950" y="5019675"/>
          <a:ext cx="6124575" cy="1685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</xdr:row>
      <xdr:rowOff>0</xdr:rowOff>
    </xdr:from>
    <xdr:to>
      <xdr:col>19</xdr:col>
      <xdr:colOff>47625</xdr:colOff>
      <xdr:row>16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590675"/>
          <a:ext cx="6848475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16</xdr:col>
      <xdr:colOff>361950</xdr:colOff>
      <xdr:row>14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1752600"/>
          <a:ext cx="56673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18</xdr:row>
      <xdr:rowOff>0</xdr:rowOff>
    </xdr:from>
    <xdr:to>
      <xdr:col>19</xdr:col>
      <xdr:colOff>247650</xdr:colOff>
      <xdr:row>25</xdr:row>
      <xdr:rowOff>95250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3100" y="3686175"/>
          <a:ext cx="6000750" cy="1428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12</xdr:row>
      <xdr:rowOff>179917</xdr:rowOff>
    </xdr:from>
    <xdr:to>
      <xdr:col>20</xdr:col>
      <xdr:colOff>288925</xdr:colOff>
      <xdr:row>24</xdr:row>
      <xdr:rowOff>170392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9583" y="3365500"/>
          <a:ext cx="4448175" cy="2276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8</xdr:row>
      <xdr:rowOff>0</xdr:rowOff>
    </xdr:from>
    <xdr:to>
      <xdr:col>15</xdr:col>
      <xdr:colOff>904875</xdr:colOff>
      <xdr:row>20</xdr:row>
      <xdr:rowOff>38100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20025" y="1962150"/>
          <a:ext cx="4333875" cy="2324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11</xdr:row>
      <xdr:rowOff>0</xdr:rowOff>
    </xdr:from>
    <xdr:to>
      <xdr:col>20</xdr:col>
      <xdr:colOff>19050</xdr:colOff>
      <xdr:row>23</xdr:row>
      <xdr:rowOff>28575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39600" y="2505075"/>
          <a:ext cx="4791075" cy="2314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8</xdr:row>
      <xdr:rowOff>0</xdr:rowOff>
    </xdr:from>
    <xdr:to>
      <xdr:col>25</xdr:col>
      <xdr:colOff>133350</xdr:colOff>
      <xdr:row>17</xdr:row>
      <xdr:rowOff>142875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01475" y="2095500"/>
          <a:ext cx="5419725" cy="1857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10583</xdr:colOff>
      <xdr:row>10</xdr:row>
      <xdr:rowOff>137583</xdr:rowOff>
    </xdr:from>
    <xdr:to>
      <xdr:col>21</xdr:col>
      <xdr:colOff>405342</xdr:colOff>
      <xdr:row>18</xdr:row>
      <xdr:rowOff>89958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1083" y="2391833"/>
          <a:ext cx="6533092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12</xdr:row>
      <xdr:rowOff>0</xdr:rowOff>
    </xdr:from>
    <xdr:to>
      <xdr:col>13</xdr:col>
      <xdr:colOff>552450</xdr:colOff>
      <xdr:row>18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800350"/>
          <a:ext cx="45053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10</xdr:row>
      <xdr:rowOff>0</xdr:rowOff>
    </xdr:from>
    <xdr:to>
      <xdr:col>20</xdr:col>
      <xdr:colOff>228600</xdr:colOff>
      <xdr:row>17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2152650"/>
          <a:ext cx="587692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U11" sqref="U11"/>
    </sheetView>
  </sheetViews>
  <sheetFormatPr defaultRowHeight="15" x14ac:dyDescent="0.25"/>
  <cols>
    <col min="1" max="1" width="16.28515625" customWidth="1"/>
    <col min="2" max="2" width="17.5703125" customWidth="1"/>
    <col min="3" max="3" width="12.5703125" customWidth="1"/>
    <col min="4" max="4" width="57.28515625" customWidth="1"/>
    <col min="7" max="10" width="0" hidden="1" customWidth="1"/>
  </cols>
  <sheetData>
    <row r="1" spans="1:17" ht="18" x14ac:dyDescent="0.35">
      <c r="A1" s="38" t="s">
        <v>0</v>
      </c>
      <c r="B1" s="38" t="s">
        <v>1</v>
      </c>
      <c r="C1" s="38" t="s">
        <v>3</v>
      </c>
      <c r="D1" s="38" t="s">
        <v>4</v>
      </c>
      <c r="E1" s="38" t="s">
        <v>208</v>
      </c>
      <c r="F1" s="38" t="s">
        <v>209</v>
      </c>
      <c r="G1" s="38" t="s">
        <v>6</v>
      </c>
      <c r="H1" s="38" t="s">
        <v>7</v>
      </c>
      <c r="I1" s="38" t="s">
        <v>8</v>
      </c>
      <c r="J1" s="38" t="s">
        <v>9</v>
      </c>
      <c r="K1" s="38" t="s">
        <v>210</v>
      </c>
      <c r="L1" s="38" t="s">
        <v>211</v>
      </c>
      <c r="M1" s="38" t="s">
        <v>212</v>
      </c>
      <c r="N1" s="38" t="s">
        <v>13</v>
      </c>
      <c r="O1" s="38" t="s">
        <v>14</v>
      </c>
      <c r="P1" s="38" t="s">
        <v>213</v>
      </c>
      <c r="Q1" s="38" t="s">
        <v>214</v>
      </c>
    </row>
    <row r="2" spans="1:17" x14ac:dyDescent="0.25">
      <c r="A2" s="37" t="s">
        <v>15</v>
      </c>
      <c r="B2" s="37" t="s">
        <v>112</v>
      </c>
      <c r="C2" s="37" t="s">
        <v>109</v>
      </c>
      <c r="D2" s="37" t="s">
        <v>17</v>
      </c>
      <c r="E2" s="37" t="s">
        <v>18</v>
      </c>
      <c r="F2" s="2"/>
      <c r="G2" s="2"/>
      <c r="H2" s="2"/>
      <c r="I2" s="2"/>
      <c r="J2" s="2"/>
      <c r="K2" s="2"/>
      <c r="L2" s="2"/>
      <c r="M2" s="2"/>
      <c r="N2" s="2">
        <v>35</v>
      </c>
      <c r="O2" s="2"/>
      <c r="P2" s="2">
        <v>16</v>
      </c>
      <c r="Q2" s="2">
        <v>5</v>
      </c>
    </row>
    <row r="3" spans="1:17" x14ac:dyDescent="0.25">
      <c r="A3" s="37" t="s">
        <v>19</v>
      </c>
      <c r="B3" s="37" t="s">
        <v>112</v>
      </c>
      <c r="C3" s="37" t="s">
        <v>109</v>
      </c>
      <c r="D3" s="37" t="s">
        <v>17</v>
      </c>
      <c r="E3" s="37" t="s">
        <v>18</v>
      </c>
      <c r="F3" s="2"/>
      <c r="G3" s="2"/>
      <c r="H3" s="2"/>
      <c r="I3" s="2"/>
      <c r="J3" s="2"/>
      <c r="K3" s="2"/>
      <c r="L3" s="2"/>
      <c r="M3" s="2"/>
      <c r="N3" s="2">
        <v>35</v>
      </c>
      <c r="O3" s="2"/>
      <c r="P3" s="2">
        <v>16</v>
      </c>
      <c r="Q3" s="2">
        <v>5</v>
      </c>
    </row>
    <row r="4" spans="1:17" x14ac:dyDescent="0.25">
      <c r="A4" s="37" t="s">
        <v>20</v>
      </c>
      <c r="B4" s="37" t="s">
        <v>112</v>
      </c>
      <c r="C4" s="37" t="s">
        <v>109</v>
      </c>
      <c r="D4" s="37" t="s">
        <v>17</v>
      </c>
      <c r="E4" s="37" t="s">
        <v>18</v>
      </c>
      <c r="F4" s="2"/>
      <c r="G4" s="2"/>
      <c r="H4" s="2"/>
      <c r="I4" s="2"/>
      <c r="J4" s="2"/>
      <c r="K4" s="2"/>
      <c r="L4" s="2"/>
      <c r="M4" s="2"/>
      <c r="N4" s="2">
        <v>35</v>
      </c>
      <c r="O4" s="2"/>
      <c r="P4" s="2">
        <v>16</v>
      </c>
      <c r="Q4" s="2">
        <v>5</v>
      </c>
    </row>
    <row r="5" spans="1:17" x14ac:dyDescent="0.25">
      <c r="A5" s="37" t="s">
        <v>21</v>
      </c>
      <c r="B5" s="37" t="s">
        <v>112</v>
      </c>
      <c r="C5" s="37" t="s">
        <v>109</v>
      </c>
      <c r="D5" s="37" t="s">
        <v>17</v>
      </c>
      <c r="E5" s="37" t="s">
        <v>18</v>
      </c>
      <c r="F5" s="2"/>
      <c r="G5" s="2"/>
      <c r="H5" s="2"/>
      <c r="I5" s="2"/>
      <c r="J5" s="2"/>
      <c r="K5" s="2"/>
      <c r="L5" s="2"/>
      <c r="M5" s="2"/>
      <c r="N5" s="2">
        <v>35</v>
      </c>
      <c r="O5" s="2"/>
      <c r="P5" s="2">
        <v>16</v>
      </c>
      <c r="Q5" s="2">
        <v>5</v>
      </c>
    </row>
    <row r="6" spans="1:17" x14ac:dyDescent="0.25">
      <c r="A6" s="37" t="s">
        <v>22</v>
      </c>
      <c r="B6" s="37" t="s">
        <v>112</v>
      </c>
      <c r="C6" s="37" t="s">
        <v>109</v>
      </c>
      <c r="D6" s="37" t="s">
        <v>17</v>
      </c>
      <c r="E6" s="37" t="s">
        <v>18</v>
      </c>
      <c r="F6" s="2"/>
      <c r="G6" s="2"/>
      <c r="H6" s="2"/>
      <c r="I6" s="2"/>
      <c r="J6" s="2"/>
      <c r="K6" s="2"/>
      <c r="L6" s="2"/>
      <c r="M6" s="2"/>
      <c r="N6" s="2">
        <v>35</v>
      </c>
      <c r="O6" s="2"/>
      <c r="P6" s="2">
        <v>16</v>
      </c>
      <c r="Q6" s="2">
        <v>5</v>
      </c>
    </row>
    <row r="7" spans="1:17" x14ac:dyDescent="0.25">
      <c r="A7" s="37" t="s">
        <v>23</v>
      </c>
      <c r="B7" s="37" t="s">
        <v>113</v>
      </c>
      <c r="C7" s="37" t="s">
        <v>110</v>
      </c>
      <c r="D7" s="37" t="s">
        <v>17</v>
      </c>
      <c r="E7" s="37" t="s">
        <v>18</v>
      </c>
      <c r="F7" s="2"/>
      <c r="G7" s="2"/>
      <c r="H7" s="2"/>
      <c r="I7" s="2"/>
      <c r="J7" s="2"/>
      <c r="K7" s="2"/>
      <c r="L7" s="2"/>
      <c r="M7" s="2"/>
      <c r="N7" s="2">
        <v>35</v>
      </c>
      <c r="O7" s="2"/>
      <c r="P7" s="2">
        <v>16</v>
      </c>
      <c r="Q7" s="2">
        <v>5</v>
      </c>
    </row>
    <row r="8" spans="1:17" x14ac:dyDescent="0.25">
      <c r="A8" s="37" t="s">
        <v>24</v>
      </c>
      <c r="B8" s="37" t="s">
        <v>112</v>
      </c>
      <c r="C8" s="37" t="s">
        <v>109</v>
      </c>
      <c r="D8" s="37" t="s">
        <v>17</v>
      </c>
      <c r="E8" s="37" t="s">
        <v>18</v>
      </c>
      <c r="F8" s="2"/>
      <c r="G8" s="2"/>
      <c r="H8" s="2"/>
      <c r="I8" s="2"/>
      <c r="J8" s="2"/>
      <c r="K8" s="2"/>
      <c r="L8" s="2"/>
      <c r="M8" s="2"/>
      <c r="N8" s="2">
        <v>35</v>
      </c>
      <c r="O8" s="2"/>
      <c r="P8" s="2">
        <v>16</v>
      </c>
      <c r="Q8" s="2">
        <v>3.3</v>
      </c>
    </row>
    <row r="9" spans="1:17" x14ac:dyDescent="0.25">
      <c r="A9" s="37" t="s">
        <v>25</v>
      </c>
      <c r="B9" s="37" t="s">
        <v>114</v>
      </c>
      <c r="C9" s="37" t="s">
        <v>109</v>
      </c>
      <c r="D9" s="37" t="s">
        <v>17</v>
      </c>
      <c r="E9" s="37" t="s">
        <v>18</v>
      </c>
      <c r="F9" s="2"/>
      <c r="G9" s="2"/>
      <c r="H9" s="2"/>
      <c r="I9" s="2"/>
      <c r="J9" s="2"/>
      <c r="K9" s="2"/>
      <c r="L9" s="2"/>
      <c r="M9" s="2"/>
      <c r="N9" s="2">
        <v>35</v>
      </c>
      <c r="O9" s="2"/>
      <c r="P9" s="2">
        <v>16</v>
      </c>
      <c r="Q9" s="2">
        <v>5</v>
      </c>
    </row>
    <row r="10" spans="1:17" x14ac:dyDescent="0.25">
      <c r="A10" s="37" t="s">
        <v>26</v>
      </c>
      <c r="B10" s="37" t="s">
        <v>113</v>
      </c>
      <c r="C10" s="37" t="s">
        <v>111</v>
      </c>
      <c r="D10" s="37" t="s">
        <v>17</v>
      </c>
      <c r="E10" s="37" t="s">
        <v>18</v>
      </c>
      <c r="F10" s="2"/>
      <c r="G10" s="2"/>
      <c r="H10" s="2"/>
      <c r="I10" s="2"/>
      <c r="J10" s="2"/>
      <c r="K10" s="2"/>
      <c r="L10" s="2"/>
      <c r="M10" s="2"/>
      <c r="N10" s="2">
        <v>35</v>
      </c>
      <c r="O10" s="2"/>
      <c r="P10" s="2">
        <v>16</v>
      </c>
      <c r="Q10" s="2">
        <v>5</v>
      </c>
    </row>
    <row r="11" spans="1:17" x14ac:dyDescent="0.25">
      <c r="A11" s="37" t="s">
        <v>27</v>
      </c>
      <c r="B11" s="37" t="s">
        <v>113</v>
      </c>
      <c r="C11" s="37" t="s">
        <v>111</v>
      </c>
      <c r="D11" s="37" t="s">
        <v>17</v>
      </c>
      <c r="E11" s="37" t="s">
        <v>18</v>
      </c>
      <c r="F11" s="2"/>
      <c r="G11" s="2"/>
      <c r="H11" s="2"/>
      <c r="I11" s="2"/>
      <c r="J11" s="2"/>
      <c r="K11" s="2"/>
      <c r="L11" s="2"/>
      <c r="M11" s="2"/>
      <c r="N11" s="2">
        <v>35</v>
      </c>
      <c r="O11" s="2"/>
      <c r="P11" s="2">
        <v>16</v>
      </c>
      <c r="Q11" s="2">
        <v>5</v>
      </c>
    </row>
    <row r="12" spans="1:17" x14ac:dyDescent="0.25">
      <c r="A12" s="37" t="s">
        <v>28</v>
      </c>
      <c r="B12" s="37" t="s">
        <v>115</v>
      </c>
      <c r="C12" s="37" t="s">
        <v>110</v>
      </c>
      <c r="D12" s="37" t="s">
        <v>17</v>
      </c>
      <c r="E12" s="37" t="s">
        <v>18</v>
      </c>
      <c r="F12" s="2"/>
      <c r="G12" s="2"/>
      <c r="H12" s="2"/>
      <c r="I12" s="2"/>
      <c r="J12" s="2"/>
      <c r="K12" s="2"/>
      <c r="L12" s="2"/>
      <c r="M12" s="2"/>
      <c r="N12" s="2">
        <v>35</v>
      </c>
      <c r="O12" s="2"/>
      <c r="P12" s="2">
        <v>16</v>
      </c>
      <c r="Q12" s="2">
        <v>5</v>
      </c>
    </row>
    <row r="13" spans="1:17" x14ac:dyDescent="0.25">
      <c r="A13" s="37" t="s">
        <v>29</v>
      </c>
      <c r="B13" s="37" t="s">
        <v>112</v>
      </c>
      <c r="C13" s="37" t="s">
        <v>109</v>
      </c>
      <c r="D13" s="37" t="s">
        <v>17</v>
      </c>
      <c r="E13" s="37" t="s">
        <v>18</v>
      </c>
      <c r="F13" s="2"/>
      <c r="G13" s="2"/>
      <c r="H13" s="2"/>
      <c r="I13" s="2"/>
      <c r="J13" s="2"/>
      <c r="K13" s="2"/>
      <c r="L13" s="2"/>
      <c r="M13" s="2"/>
      <c r="N13" s="2">
        <v>35</v>
      </c>
      <c r="O13" s="2"/>
      <c r="P13" s="2">
        <v>16</v>
      </c>
      <c r="Q13" s="2">
        <v>5</v>
      </c>
    </row>
    <row r="14" spans="1:17" x14ac:dyDescent="0.25">
      <c r="A14" s="37" t="s">
        <v>30</v>
      </c>
      <c r="B14" s="37" t="s">
        <v>112</v>
      </c>
      <c r="C14" s="37" t="s">
        <v>109</v>
      </c>
      <c r="D14" s="37" t="s">
        <v>17</v>
      </c>
      <c r="E14" s="37" t="s">
        <v>18</v>
      </c>
      <c r="F14" s="2"/>
      <c r="G14" s="2"/>
      <c r="H14" s="2"/>
      <c r="I14" s="2"/>
      <c r="J14" s="2"/>
      <c r="K14" s="2"/>
      <c r="L14" s="2"/>
      <c r="M14" s="2"/>
      <c r="N14" s="2">
        <v>35</v>
      </c>
      <c r="O14" s="2"/>
      <c r="P14" s="2">
        <v>16</v>
      </c>
      <c r="Q14" s="2">
        <v>5</v>
      </c>
    </row>
    <row r="15" spans="1:17" x14ac:dyDescent="0.25">
      <c r="A15" s="37" t="s">
        <v>31</v>
      </c>
      <c r="B15" s="37" t="s">
        <v>112</v>
      </c>
      <c r="C15" s="37" t="s">
        <v>109</v>
      </c>
      <c r="D15" s="37" t="s">
        <v>17</v>
      </c>
      <c r="E15" s="37" t="s">
        <v>18</v>
      </c>
      <c r="F15" s="2"/>
      <c r="G15" s="2"/>
      <c r="H15" s="2"/>
      <c r="I15" s="2"/>
      <c r="J15" s="2"/>
      <c r="K15" s="2"/>
      <c r="L15" s="2"/>
      <c r="M15" s="2"/>
      <c r="N15" s="2">
        <v>35</v>
      </c>
      <c r="O15" s="2"/>
      <c r="P15" s="2">
        <v>16</v>
      </c>
      <c r="Q15" s="2">
        <v>5</v>
      </c>
    </row>
    <row r="16" spans="1:17" x14ac:dyDescent="0.25">
      <c r="A16" s="37" t="s">
        <v>32</v>
      </c>
      <c r="B16" s="37" t="s">
        <v>113</v>
      </c>
      <c r="C16" s="37" t="s">
        <v>111</v>
      </c>
      <c r="D16" s="37" t="s">
        <v>17</v>
      </c>
      <c r="E16" s="37" t="s">
        <v>18</v>
      </c>
      <c r="F16" s="2"/>
      <c r="G16" s="2"/>
      <c r="H16" s="2"/>
      <c r="I16" s="2"/>
      <c r="J16" s="2"/>
      <c r="K16" s="2"/>
      <c r="L16" s="2"/>
      <c r="M16" s="2"/>
      <c r="N16" s="2">
        <v>35</v>
      </c>
      <c r="O16" s="2"/>
      <c r="P16" s="2">
        <v>16</v>
      </c>
      <c r="Q16" s="2">
        <v>3</v>
      </c>
    </row>
    <row r="17" spans="1:17" x14ac:dyDescent="0.25">
      <c r="A17" s="37" t="s">
        <v>34</v>
      </c>
      <c r="B17" s="37" t="s">
        <v>116</v>
      </c>
      <c r="C17" s="37" t="s">
        <v>150</v>
      </c>
      <c r="D17" s="37" t="s">
        <v>151</v>
      </c>
      <c r="E17" s="37"/>
      <c r="F17" s="2"/>
      <c r="G17" s="2"/>
      <c r="H17" s="2"/>
      <c r="I17" s="2"/>
      <c r="J17" s="2"/>
      <c r="K17" s="2"/>
      <c r="L17" s="2"/>
      <c r="M17" s="2"/>
      <c r="N17" s="2">
        <v>20</v>
      </c>
      <c r="O17" s="2">
        <v>1.2</v>
      </c>
      <c r="P17" s="2"/>
      <c r="Q17" s="2"/>
    </row>
    <row r="18" spans="1:17" x14ac:dyDescent="0.25">
      <c r="A18" s="37" t="s">
        <v>35</v>
      </c>
      <c r="B18" s="37" t="s">
        <v>117</v>
      </c>
      <c r="C18" s="37" t="s">
        <v>150</v>
      </c>
      <c r="D18" s="37" t="s">
        <v>151</v>
      </c>
      <c r="E18" s="37"/>
      <c r="F18" s="2"/>
      <c r="G18" s="2"/>
      <c r="H18" s="2"/>
      <c r="I18" s="2"/>
      <c r="J18" s="2"/>
      <c r="K18" s="2"/>
      <c r="L18" s="2"/>
      <c r="M18" s="2"/>
      <c r="N18" s="2">
        <v>20</v>
      </c>
      <c r="O18" s="2">
        <v>2</v>
      </c>
      <c r="P18" s="2"/>
      <c r="Q18" s="2"/>
    </row>
    <row r="19" spans="1:17" x14ac:dyDescent="0.25">
      <c r="A19" s="37" t="s">
        <v>36</v>
      </c>
      <c r="B19" s="37" t="s">
        <v>117</v>
      </c>
      <c r="C19" s="37" t="s">
        <v>150</v>
      </c>
      <c r="D19" s="37" t="s">
        <v>151</v>
      </c>
      <c r="E19" s="37"/>
      <c r="F19" s="2"/>
      <c r="G19" s="2"/>
      <c r="H19" s="2"/>
      <c r="I19" s="2"/>
      <c r="J19" s="2"/>
      <c r="K19" s="2"/>
      <c r="L19" s="2"/>
      <c r="M19" s="2"/>
      <c r="N19" s="2">
        <v>20</v>
      </c>
      <c r="O19" s="2">
        <v>2</v>
      </c>
      <c r="P19" s="2"/>
      <c r="Q19" s="2"/>
    </row>
    <row r="20" spans="1:17" x14ac:dyDescent="0.25">
      <c r="A20" s="37" t="s">
        <v>37</v>
      </c>
      <c r="B20" s="37" t="s">
        <v>118</v>
      </c>
      <c r="C20" s="37" t="s">
        <v>183</v>
      </c>
      <c r="D20" s="37" t="s">
        <v>152</v>
      </c>
      <c r="E20" s="37"/>
      <c r="F20" s="2"/>
      <c r="G20" s="2"/>
      <c r="H20" s="2"/>
      <c r="I20" s="2"/>
      <c r="J20" s="2"/>
      <c r="K20" s="2"/>
      <c r="L20" s="2"/>
      <c r="M20" s="2"/>
      <c r="N20" s="2">
        <v>35</v>
      </c>
      <c r="O20" s="2">
        <v>5</v>
      </c>
      <c r="P20" s="2"/>
      <c r="Q20" s="2"/>
    </row>
    <row r="21" spans="1:17" x14ac:dyDescent="0.25">
      <c r="A21" s="37" t="s">
        <v>38</v>
      </c>
      <c r="B21" s="37" t="s">
        <v>118</v>
      </c>
      <c r="C21" s="37" t="s">
        <v>183</v>
      </c>
      <c r="D21" s="37" t="s">
        <v>152</v>
      </c>
      <c r="E21" s="37"/>
      <c r="F21" s="2"/>
      <c r="G21" s="2"/>
      <c r="H21" s="2"/>
      <c r="I21" s="2"/>
      <c r="J21" s="2"/>
      <c r="K21" s="2"/>
      <c r="L21" s="2"/>
      <c r="M21" s="2"/>
      <c r="N21" s="2">
        <v>35</v>
      </c>
      <c r="O21" s="2">
        <v>5</v>
      </c>
      <c r="P21" s="2"/>
      <c r="Q21" s="2"/>
    </row>
    <row r="22" spans="1:17" x14ac:dyDescent="0.25">
      <c r="A22" s="37" t="s">
        <v>119</v>
      </c>
      <c r="B22" s="37" t="s">
        <v>118</v>
      </c>
      <c r="C22" s="37" t="s">
        <v>183</v>
      </c>
      <c r="D22" s="37" t="s">
        <v>152</v>
      </c>
      <c r="E22" s="37"/>
      <c r="F22" s="2"/>
      <c r="G22" s="2"/>
      <c r="H22" s="2"/>
      <c r="I22" s="2"/>
      <c r="J22" s="2"/>
      <c r="K22" s="2"/>
      <c r="L22" s="2"/>
      <c r="M22" s="2"/>
      <c r="N22" s="2">
        <v>35</v>
      </c>
      <c r="O22" s="2">
        <v>5</v>
      </c>
      <c r="P22" s="2"/>
      <c r="Q22" s="2"/>
    </row>
    <row r="23" spans="1:17" x14ac:dyDescent="0.25">
      <c r="A23" s="37" t="s">
        <v>120</v>
      </c>
      <c r="B23" s="37" t="s">
        <v>118</v>
      </c>
      <c r="C23" s="37" t="s">
        <v>183</v>
      </c>
      <c r="D23" s="37" t="s">
        <v>152</v>
      </c>
      <c r="E23" s="37"/>
      <c r="F23" s="2"/>
      <c r="G23" s="2"/>
      <c r="H23" s="2"/>
      <c r="I23" s="2"/>
      <c r="J23" s="2"/>
      <c r="K23" s="2"/>
      <c r="L23" s="2"/>
      <c r="M23" s="2"/>
      <c r="N23" s="2">
        <v>35</v>
      </c>
      <c r="O23" s="2">
        <v>5</v>
      </c>
      <c r="P23" s="2"/>
      <c r="Q23" s="2"/>
    </row>
    <row r="24" spans="1:17" x14ac:dyDescent="0.25">
      <c r="A24" s="37" t="s">
        <v>121</v>
      </c>
      <c r="B24" s="37" t="s">
        <v>122</v>
      </c>
      <c r="C24" s="37" t="s">
        <v>153</v>
      </c>
      <c r="D24" s="37" t="s">
        <v>154</v>
      </c>
      <c r="E24" s="37"/>
      <c r="F24" s="2"/>
      <c r="G24" s="2"/>
      <c r="H24" s="2"/>
      <c r="I24" s="2"/>
      <c r="J24" s="2"/>
      <c r="K24" s="2"/>
      <c r="L24" s="2"/>
      <c r="M24" s="2"/>
      <c r="N24" s="2">
        <v>35</v>
      </c>
      <c r="O24" s="2"/>
      <c r="P24" s="2"/>
      <c r="Q24" s="2"/>
    </row>
    <row r="25" spans="1:17" x14ac:dyDescent="0.25">
      <c r="A25" s="37" t="s">
        <v>123</v>
      </c>
      <c r="B25" s="37" t="s">
        <v>124</v>
      </c>
      <c r="C25" s="37" t="s">
        <v>110</v>
      </c>
      <c r="D25" s="37" t="s">
        <v>155</v>
      </c>
      <c r="E25" s="37"/>
      <c r="F25" s="2"/>
      <c r="G25" s="2"/>
      <c r="H25" s="2"/>
      <c r="I25" s="2"/>
      <c r="J25" s="2"/>
      <c r="K25" s="2"/>
      <c r="L25" s="2"/>
      <c r="M25" s="2"/>
      <c r="N25" s="2">
        <v>35</v>
      </c>
      <c r="O25" s="2"/>
      <c r="P25" s="2"/>
      <c r="Q25" s="2"/>
    </row>
    <row r="26" spans="1:17" x14ac:dyDescent="0.25">
      <c r="A26" s="37" t="s">
        <v>40</v>
      </c>
      <c r="B26" s="37" t="s">
        <v>125</v>
      </c>
      <c r="C26" s="37" t="s">
        <v>156</v>
      </c>
      <c r="D26" s="37" t="s">
        <v>157</v>
      </c>
      <c r="E26" s="37"/>
      <c r="F26" s="2"/>
      <c r="G26" s="2"/>
      <c r="H26" s="2"/>
      <c r="I26" s="2"/>
      <c r="J26" s="2"/>
      <c r="K26" s="2"/>
      <c r="L26" s="2"/>
      <c r="M26" s="2"/>
      <c r="N26" s="2">
        <v>20</v>
      </c>
      <c r="O26" s="2">
        <v>12</v>
      </c>
      <c r="P26" s="2"/>
      <c r="Q26" s="2"/>
    </row>
    <row r="27" spans="1:17" x14ac:dyDescent="0.25">
      <c r="A27" s="37" t="s">
        <v>126</v>
      </c>
      <c r="B27" s="37" t="s">
        <v>127</v>
      </c>
      <c r="C27" s="37" t="s">
        <v>158</v>
      </c>
      <c r="D27" s="37" t="s">
        <v>178</v>
      </c>
      <c r="E27" s="37"/>
      <c r="F27" s="2"/>
      <c r="G27" s="2"/>
      <c r="H27" s="2"/>
      <c r="I27" s="2"/>
      <c r="J27" s="2"/>
      <c r="K27" s="2"/>
      <c r="L27" s="2"/>
      <c r="M27" s="2"/>
      <c r="N27" s="2">
        <v>35</v>
      </c>
      <c r="O27" s="2"/>
      <c r="P27" s="2"/>
      <c r="Q27" s="2"/>
    </row>
    <row r="28" spans="1:17" x14ac:dyDescent="0.25">
      <c r="A28" s="37" t="s">
        <v>128</v>
      </c>
      <c r="B28" s="37" t="s">
        <v>129</v>
      </c>
      <c r="C28" s="37" t="s">
        <v>159</v>
      </c>
      <c r="D28" s="37" t="s">
        <v>178</v>
      </c>
      <c r="E28" s="37"/>
      <c r="F28" s="2"/>
      <c r="G28" s="2"/>
      <c r="H28" s="2"/>
      <c r="I28" s="2"/>
      <c r="J28" s="2"/>
      <c r="K28" s="2"/>
      <c r="L28" s="2"/>
      <c r="M28" s="2"/>
      <c r="N28" s="2">
        <v>35</v>
      </c>
      <c r="O28" s="2"/>
      <c r="P28" s="2"/>
      <c r="Q28" s="2"/>
    </row>
    <row r="29" spans="1:17" x14ac:dyDescent="0.25">
      <c r="A29" s="37" t="s">
        <v>130</v>
      </c>
      <c r="B29" s="37" t="s">
        <v>131</v>
      </c>
      <c r="C29" s="37" t="s">
        <v>160</v>
      </c>
      <c r="D29" s="37" t="s">
        <v>161</v>
      </c>
      <c r="E29" s="37"/>
      <c r="F29" s="2"/>
      <c r="G29" s="2"/>
      <c r="H29" s="2"/>
      <c r="I29" s="2"/>
      <c r="J29" s="2"/>
      <c r="K29" s="2"/>
      <c r="L29" s="2"/>
      <c r="M29" s="2"/>
      <c r="N29" s="2">
        <v>20</v>
      </c>
      <c r="O29" s="2"/>
      <c r="P29" s="2"/>
      <c r="Q29" s="2"/>
    </row>
    <row r="30" spans="1:17" x14ac:dyDescent="0.25">
      <c r="A30" s="37" t="s">
        <v>132</v>
      </c>
      <c r="B30" s="37" t="s">
        <v>133</v>
      </c>
      <c r="C30" s="37" t="s">
        <v>133</v>
      </c>
      <c r="D30" s="37" t="s">
        <v>162</v>
      </c>
      <c r="E30" s="37"/>
      <c r="F30" s="2"/>
      <c r="G30" s="2"/>
      <c r="H30" s="2"/>
      <c r="I30" s="2"/>
      <c r="J30" s="2"/>
      <c r="K30" s="2"/>
      <c r="L30" s="2"/>
      <c r="M30" s="2"/>
      <c r="N30" s="2">
        <v>20</v>
      </c>
      <c r="O30" s="2"/>
      <c r="P30" s="2"/>
      <c r="Q30" s="2"/>
    </row>
    <row r="31" spans="1:17" x14ac:dyDescent="0.25">
      <c r="A31" s="37" t="s">
        <v>134</v>
      </c>
      <c r="B31" s="37" t="s">
        <v>135</v>
      </c>
      <c r="C31" s="37" t="s">
        <v>163</v>
      </c>
      <c r="D31" s="37" t="s">
        <v>162</v>
      </c>
      <c r="E31" s="37"/>
      <c r="F31" s="2"/>
      <c r="G31" s="2"/>
      <c r="H31" s="2"/>
      <c r="I31" s="2"/>
      <c r="J31" s="2"/>
      <c r="K31" s="2"/>
      <c r="L31" s="2"/>
      <c r="M31" s="2"/>
      <c r="N31" s="2">
        <v>20</v>
      </c>
      <c r="O31" s="2"/>
      <c r="P31" s="2"/>
      <c r="Q31" s="2"/>
    </row>
    <row r="32" spans="1:17" x14ac:dyDescent="0.25">
      <c r="A32" s="37" t="s">
        <v>41</v>
      </c>
      <c r="B32" s="37" t="s">
        <v>136</v>
      </c>
      <c r="C32" s="37" t="s">
        <v>110</v>
      </c>
      <c r="D32" s="37" t="s">
        <v>42</v>
      </c>
      <c r="E32" s="37"/>
      <c r="F32" s="2">
        <v>0.2</v>
      </c>
      <c r="G32" s="2"/>
      <c r="H32" s="2"/>
      <c r="I32" s="2"/>
      <c r="J32" s="2"/>
      <c r="K32" s="39">
        <v>0.25</v>
      </c>
      <c r="L32" s="39" t="s">
        <v>43</v>
      </c>
      <c r="M32" s="2"/>
      <c r="N32" s="2">
        <v>35</v>
      </c>
      <c r="O32" s="2"/>
      <c r="P32" s="2"/>
      <c r="Q32" s="2"/>
    </row>
    <row r="33" spans="1:17" x14ac:dyDescent="0.25">
      <c r="A33" s="37" t="s">
        <v>44</v>
      </c>
      <c r="B33" s="37" t="s">
        <v>136</v>
      </c>
      <c r="C33" s="37" t="s">
        <v>110</v>
      </c>
      <c r="D33" s="37" t="s">
        <v>42</v>
      </c>
      <c r="E33" s="37"/>
      <c r="F33" s="2">
        <v>0.2</v>
      </c>
      <c r="G33" s="2"/>
      <c r="H33" s="2"/>
      <c r="I33" s="2"/>
      <c r="J33" s="2"/>
      <c r="K33" s="39">
        <v>0.25</v>
      </c>
      <c r="L33" s="39" t="s">
        <v>43</v>
      </c>
      <c r="M33" s="2"/>
      <c r="N33" s="2">
        <v>35</v>
      </c>
      <c r="O33" s="2"/>
      <c r="P33" s="2"/>
      <c r="Q33" s="2"/>
    </row>
    <row r="34" spans="1:17" x14ac:dyDescent="0.25">
      <c r="A34" s="37" t="s">
        <v>45</v>
      </c>
      <c r="B34" s="37" t="s">
        <v>137</v>
      </c>
      <c r="C34" s="37" t="s">
        <v>109</v>
      </c>
      <c r="D34" s="37" t="s">
        <v>42</v>
      </c>
      <c r="E34" s="37"/>
      <c r="F34" s="2">
        <v>10.5</v>
      </c>
      <c r="G34" s="2"/>
      <c r="H34" s="2"/>
      <c r="I34" s="2"/>
      <c r="J34" s="2"/>
      <c r="K34" s="39">
        <v>0.25</v>
      </c>
      <c r="L34" s="39" t="s">
        <v>43</v>
      </c>
      <c r="M34" s="2"/>
      <c r="N34" s="2">
        <v>35</v>
      </c>
      <c r="O34" s="2"/>
      <c r="P34" s="2"/>
      <c r="Q34" s="2"/>
    </row>
    <row r="35" spans="1:17" x14ac:dyDescent="0.25">
      <c r="A35" s="37" t="s">
        <v>47</v>
      </c>
      <c r="B35" s="37" t="s">
        <v>138</v>
      </c>
      <c r="C35" s="37" t="s">
        <v>109</v>
      </c>
      <c r="D35" s="37" t="s">
        <v>42</v>
      </c>
      <c r="E35" s="37"/>
      <c r="F35" s="40">
        <v>10</v>
      </c>
      <c r="G35" s="2"/>
      <c r="H35" s="2"/>
      <c r="I35" s="2"/>
      <c r="J35" s="2"/>
      <c r="K35" s="39">
        <v>0.25</v>
      </c>
      <c r="L35" s="39" t="s">
        <v>43</v>
      </c>
      <c r="M35" s="2"/>
      <c r="N35" s="2">
        <v>35</v>
      </c>
      <c r="O35" s="2"/>
      <c r="P35" s="2"/>
      <c r="Q35" s="2"/>
    </row>
    <row r="36" spans="1:17" x14ac:dyDescent="0.25">
      <c r="A36" s="37" t="s">
        <v>48</v>
      </c>
      <c r="B36" s="37" t="s">
        <v>138</v>
      </c>
      <c r="C36" s="37" t="s">
        <v>109</v>
      </c>
      <c r="D36" s="37" t="s">
        <v>42</v>
      </c>
      <c r="E36" s="37"/>
      <c r="F36" s="40">
        <v>10</v>
      </c>
      <c r="G36" s="2"/>
      <c r="H36" s="2"/>
      <c r="I36" s="2"/>
      <c r="J36" s="2"/>
      <c r="K36" s="39">
        <v>0.25</v>
      </c>
      <c r="L36" s="39" t="s">
        <v>43</v>
      </c>
      <c r="M36" s="2"/>
      <c r="N36" s="2">
        <v>35</v>
      </c>
      <c r="O36" s="2"/>
      <c r="P36" s="2"/>
      <c r="Q36" s="2"/>
    </row>
    <row r="37" spans="1:17" x14ac:dyDescent="0.25">
      <c r="A37" s="37" t="s">
        <v>50</v>
      </c>
      <c r="B37" s="37" t="s">
        <v>49</v>
      </c>
      <c r="C37" s="37" t="s">
        <v>110</v>
      </c>
      <c r="D37" s="37" t="s">
        <v>42</v>
      </c>
      <c r="E37" s="37"/>
      <c r="F37" s="40">
        <v>0.5</v>
      </c>
      <c r="G37" s="2"/>
      <c r="H37" s="2"/>
      <c r="I37" s="2"/>
      <c r="J37" s="2"/>
      <c r="K37" s="39">
        <v>0.25</v>
      </c>
      <c r="L37" s="39" t="s">
        <v>43</v>
      </c>
      <c r="M37" s="2"/>
      <c r="N37" s="2">
        <v>40</v>
      </c>
      <c r="O37" s="2"/>
      <c r="P37" s="2"/>
      <c r="Q37" s="2"/>
    </row>
    <row r="38" spans="1:17" x14ac:dyDescent="0.25">
      <c r="A38" s="37" t="s">
        <v>51</v>
      </c>
      <c r="B38" s="37" t="s">
        <v>49</v>
      </c>
      <c r="C38" s="37" t="s">
        <v>110</v>
      </c>
      <c r="D38" s="37" t="s">
        <v>42</v>
      </c>
      <c r="E38" s="37"/>
      <c r="F38" s="40">
        <v>0.5</v>
      </c>
      <c r="G38" s="2"/>
      <c r="H38" s="2"/>
      <c r="I38" s="2"/>
      <c r="J38" s="2"/>
      <c r="K38" s="39">
        <v>0.25</v>
      </c>
      <c r="L38" s="39" t="s">
        <v>43</v>
      </c>
      <c r="M38" s="2"/>
      <c r="N38" s="2">
        <v>35</v>
      </c>
      <c r="O38" s="2"/>
      <c r="P38" s="2"/>
      <c r="Q38" s="2"/>
    </row>
    <row r="39" spans="1:17" x14ac:dyDescent="0.25">
      <c r="A39" s="37" t="s">
        <v>52</v>
      </c>
      <c r="B39" s="37" t="s">
        <v>49</v>
      </c>
      <c r="C39" s="37" t="s">
        <v>110</v>
      </c>
      <c r="D39" s="37" t="s">
        <v>42</v>
      </c>
      <c r="E39" s="37"/>
      <c r="F39" s="40">
        <v>0.5</v>
      </c>
      <c r="G39" s="2"/>
      <c r="H39" s="2"/>
      <c r="I39" s="2"/>
      <c r="J39" s="2"/>
      <c r="K39" s="39">
        <v>0.25</v>
      </c>
      <c r="L39" s="39" t="s">
        <v>43</v>
      </c>
      <c r="M39" s="2"/>
      <c r="N39" s="2">
        <v>35</v>
      </c>
      <c r="O39" s="2"/>
      <c r="P39" s="2"/>
      <c r="Q39" s="2"/>
    </row>
    <row r="40" spans="1:17" x14ac:dyDescent="0.25">
      <c r="A40" s="37" t="s">
        <v>53</v>
      </c>
      <c r="B40" s="37" t="s">
        <v>49</v>
      </c>
      <c r="C40" s="37" t="s">
        <v>110</v>
      </c>
      <c r="D40" s="37" t="s">
        <v>42</v>
      </c>
      <c r="E40" s="37"/>
      <c r="F40" s="40">
        <v>0.5</v>
      </c>
      <c r="G40" s="2"/>
      <c r="H40" s="2"/>
      <c r="I40" s="2"/>
      <c r="J40" s="2"/>
      <c r="K40" s="39">
        <v>0.25</v>
      </c>
      <c r="L40" s="39" t="s">
        <v>43</v>
      </c>
      <c r="M40" s="2"/>
      <c r="N40" s="2">
        <v>35</v>
      </c>
      <c r="O40" s="2"/>
      <c r="P40" s="2"/>
      <c r="Q40" s="2"/>
    </row>
    <row r="41" spans="1:17" x14ac:dyDescent="0.25">
      <c r="A41" s="37" t="s">
        <v>54</v>
      </c>
      <c r="B41" s="37" t="s">
        <v>139</v>
      </c>
      <c r="C41" s="37" t="s">
        <v>164</v>
      </c>
      <c r="D41" s="37" t="s">
        <v>165</v>
      </c>
      <c r="E41" s="37"/>
      <c r="F41" s="2"/>
      <c r="G41" s="2"/>
      <c r="H41" s="2"/>
      <c r="I41" s="2"/>
      <c r="J41" s="2"/>
      <c r="K41" s="2"/>
      <c r="L41" s="2"/>
      <c r="M41" s="2"/>
      <c r="N41" s="2">
        <v>35</v>
      </c>
      <c r="O41" s="2"/>
      <c r="P41" s="2"/>
      <c r="Q41" s="2"/>
    </row>
    <row r="42" spans="1:17" x14ac:dyDescent="0.25">
      <c r="A42" s="37" t="s">
        <v>55</v>
      </c>
      <c r="B42" s="37" t="s">
        <v>139</v>
      </c>
      <c r="C42" s="37" t="s">
        <v>164</v>
      </c>
      <c r="D42" s="37" t="s">
        <v>165</v>
      </c>
      <c r="E42" s="37"/>
      <c r="F42" s="2"/>
      <c r="G42" s="2"/>
      <c r="H42" s="2"/>
      <c r="I42" s="2"/>
      <c r="J42" s="2"/>
      <c r="K42" s="2"/>
      <c r="L42" s="2"/>
      <c r="M42" s="2"/>
      <c r="N42" s="2">
        <v>35</v>
      </c>
      <c r="O42" s="2"/>
      <c r="P42" s="2"/>
      <c r="Q42" s="2"/>
    </row>
    <row r="43" spans="1:17" x14ac:dyDescent="0.25">
      <c r="A43" s="37" t="s">
        <v>56</v>
      </c>
      <c r="B43" s="37" t="s">
        <v>140</v>
      </c>
      <c r="C43" s="37" t="s">
        <v>166</v>
      </c>
      <c r="D43" s="37" t="s">
        <v>167</v>
      </c>
      <c r="E43" s="37"/>
      <c r="F43" s="2"/>
      <c r="G43" s="2"/>
      <c r="H43" s="2"/>
      <c r="I43" s="2"/>
      <c r="J43" s="2"/>
      <c r="K43" s="2"/>
      <c r="L43" s="2"/>
      <c r="M43" s="2"/>
      <c r="N43" s="2">
        <v>35</v>
      </c>
      <c r="O43" s="2"/>
      <c r="P43" s="2"/>
      <c r="Q43" s="2"/>
    </row>
    <row r="44" spans="1:17" x14ac:dyDescent="0.25">
      <c r="A44" s="37" t="s">
        <v>141</v>
      </c>
      <c r="B44" s="37" t="s">
        <v>142</v>
      </c>
      <c r="C44" s="37" t="s">
        <v>168</v>
      </c>
      <c r="D44" s="37" t="s">
        <v>169</v>
      </c>
      <c r="E44" s="37"/>
      <c r="F44" s="2"/>
      <c r="G44" s="2"/>
      <c r="H44" s="2"/>
      <c r="I44" s="2"/>
      <c r="J44" s="2"/>
      <c r="K44" s="2"/>
      <c r="L44" s="2"/>
      <c r="M44" s="2"/>
      <c r="N44" s="2">
        <v>35</v>
      </c>
      <c r="O44" s="2"/>
      <c r="P44" s="2"/>
      <c r="Q44" s="2"/>
    </row>
    <row r="45" spans="1:17" x14ac:dyDescent="0.25">
      <c r="A45" s="37" t="s">
        <v>143</v>
      </c>
      <c r="B45" s="37" t="s">
        <v>144</v>
      </c>
      <c r="C45" s="37" t="s">
        <v>170</v>
      </c>
      <c r="D45" s="37" t="s">
        <v>171</v>
      </c>
      <c r="E45" s="37"/>
      <c r="F45" s="2"/>
      <c r="G45" s="2"/>
      <c r="H45" s="2"/>
      <c r="I45" s="2"/>
      <c r="J45" s="2"/>
      <c r="K45" s="2"/>
      <c r="L45" s="2"/>
      <c r="M45" s="2"/>
      <c r="N45" s="2">
        <v>35</v>
      </c>
      <c r="O45" s="2"/>
      <c r="P45" s="2"/>
      <c r="Q45" s="2"/>
    </row>
    <row r="46" spans="1:17" x14ac:dyDescent="0.25">
      <c r="A46" s="37" t="s">
        <v>145</v>
      </c>
      <c r="B46" s="37" t="s">
        <v>146</v>
      </c>
      <c r="C46" s="37" t="s">
        <v>172</v>
      </c>
      <c r="D46" s="37" t="s">
        <v>173</v>
      </c>
      <c r="E46" s="37"/>
      <c r="F46" s="2"/>
      <c r="G46" s="2"/>
      <c r="H46" s="2"/>
      <c r="I46" s="2"/>
      <c r="J46" s="2"/>
      <c r="K46" s="2"/>
      <c r="L46" s="2"/>
      <c r="M46" s="2"/>
      <c r="N46" s="2">
        <v>35</v>
      </c>
      <c r="O46" s="2"/>
      <c r="P46" s="2"/>
      <c r="Q46" s="2"/>
    </row>
    <row r="47" spans="1:17" x14ac:dyDescent="0.25">
      <c r="A47" s="37" t="s">
        <v>147</v>
      </c>
      <c r="B47" s="37" t="s">
        <v>148</v>
      </c>
      <c r="C47" s="37" t="s">
        <v>174</v>
      </c>
      <c r="D47" s="37" t="s">
        <v>175</v>
      </c>
      <c r="E47" s="37"/>
      <c r="F47" s="2"/>
      <c r="G47" s="2"/>
      <c r="H47" s="2"/>
      <c r="I47" s="2"/>
      <c r="J47" s="2"/>
      <c r="K47" s="2"/>
      <c r="L47" s="2"/>
      <c r="M47" s="2"/>
      <c r="N47" s="2">
        <v>45</v>
      </c>
      <c r="O47" s="2">
        <v>5</v>
      </c>
      <c r="P47" s="2"/>
      <c r="Q47" s="2"/>
    </row>
    <row r="48" spans="1:17" x14ac:dyDescent="0.25">
      <c r="A48" s="37" t="s">
        <v>149</v>
      </c>
      <c r="B48" s="37" t="s">
        <v>39</v>
      </c>
      <c r="C48" s="37" t="s">
        <v>176</v>
      </c>
      <c r="D48" s="37" t="s">
        <v>177</v>
      </c>
      <c r="E48" s="37"/>
      <c r="F48" s="2"/>
      <c r="G48" s="2"/>
      <c r="H48" s="2"/>
      <c r="I48" s="2"/>
      <c r="J48" s="2"/>
      <c r="K48" s="2"/>
      <c r="L48" s="2"/>
      <c r="M48" s="2"/>
      <c r="N48" s="2">
        <v>40</v>
      </c>
      <c r="O48" s="2">
        <v>3</v>
      </c>
      <c r="P48" s="2"/>
      <c r="Q48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topLeftCell="G1" workbookViewId="0">
      <selection activeCell="H3" sqref="H3"/>
    </sheetView>
  </sheetViews>
  <sheetFormatPr defaultRowHeight="15" x14ac:dyDescent="0.25"/>
  <cols>
    <col min="7" max="7" width="10.42578125" customWidth="1"/>
    <col min="8" max="8" width="12.28515625" customWidth="1"/>
    <col min="9" max="9" width="10.42578125" customWidth="1"/>
    <col min="16" max="16" width="10.140625" customWidth="1"/>
    <col min="17" max="17" width="10.5703125" customWidth="1"/>
    <col min="18" max="18" width="11.42578125" customWidth="1"/>
    <col min="20" max="20" width="14.28515625" customWidth="1"/>
    <col min="22" max="22" width="10.140625" customWidth="1"/>
    <col min="23" max="23" width="11.140625" customWidth="1"/>
    <col min="24" max="24" width="10.28515625" customWidth="1"/>
    <col min="25" max="25" width="12" bestFit="1" customWidth="1"/>
    <col min="26" max="26" width="14" customWidth="1"/>
  </cols>
  <sheetData>
    <row r="1" spans="1:31" ht="50.25" customHeight="1" thickBot="1" x14ac:dyDescent="0.3"/>
    <row r="2" spans="1:31" x14ac:dyDescent="0.25">
      <c r="G2" s="203" t="s">
        <v>97</v>
      </c>
      <c r="H2" s="204"/>
      <c r="I2" s="205"/>
      <c r="K2" s="203" t="s">
        <v>258</v>
      </c>
      <c r="L2" s="204"/>
      <c r="M2" s="204"/>
      <c r="N2" s="204"/>
      <c r="O2" s="204"/>
      <c r="P2" s="205"/>
      <c r="Q2" s="206" t="s">
        <v>76</v>
      </c>
      <c r="R2" s="207"/>
      <c r="S2" s="207"/>
      <c r="T2" s="207"/>
      <c r="U2" s="207"/>
      <c r="V2" s="208"/>
      <c r="W2" s="206" t="s">
        <v>77</v>
      </c>
      <c r="X2" s="207"/>
      <c r="Y2" s="207"/>
      <c r="Z2" s="207"/>
      <c r="AA2" s="207"/>
      <c r="AB2" s="208"/>
    </row>
    <row r="3" spans="1:31" ht="18" x14ac:dyDescent="0.35">
      <c r="A3" s="140" t="s">
        <v>0</v>
      </c>
      <c r="B3" s="140" t="s">
        <v>1</v>
      </c>
      <c r="C3" s="140" t="s">
        <v>3</v>
      </c>
      <c r="D3" s="140" t="s">
        <v>4</v>
      </c>
      <c r="E3" s="140" t="s">
        <v>58</v>
      </c>
      <c r="F3" s="137" t="s">
        <v>219</v>
      </c>
      <c r="G3" s="143" t="s">
        <v>220</v>
      </c>
      <c r="H3" s="166" t="s">
        <v>221</v>
      </c>
      <c r="I3" s="144" t="s">
        <v>96</v>
      </c>
      <c r="J3" s="105" t="s">
        <v>259</v>
      </c>
      <c r="K3" s="143" t="s">
        <v>260</v>
      </c>
      <c r="L3" s="141" t="s">
        <v>261</v>
      </c>
      <c r="M3" s="141" t="s">
        <v>262</v>
      </c>
      <c r="N3" s="141" t="s">
        <v>263</v>
      </c>
      <c r="O3" s="141" t="s">
        <v>264</v>
      </c>
      <c r="P3" s="139" t="s">
        <v>265</v>
      </c>
      <c r="Q3" s="138" t="s">
        <v>190</v>
      </c>
      <c r="R3" s="134" t="s">
        <v>266</v>
      </c>
      <c r="S3" s="134" t="s">
        <v>267</v>
      </c>
      <c r="T3" s="134" t="s">
        <v>192</v>
      </c>
      <c r="U3" s="134" t="s">
        <v>193</v>
      </c>
      <c r="V3" s="139" t="s">
        <v>194</v>
      </c>
      <c r="W3" s="138" t="s">
        <v>190</v>
      </c>
      <c r="X3" s="134" t="s">
        <v>266</v>
      </c>
      <c r="Y3" s="134" t="s">
        <v>267</v>
      </c>
      <c r="Z3" s="134" t="s">
        <v>192</v>
      </c>
      <c r="AA3" s="134" t="s">
        <v>193</v>
      </c>
      <c r="AB3" s="139" t="s">
        <v>194</v>
      </c>
      <c r="AC3" s="142" t="s">
        <v>223</v>
      </c>
      <c r="AD3" s="141" t="s">
        <v>230</v>
      </c>
      <c r="AE3" s="45" t="s">
        <v>102</v>
      </c>
    </row>
    <row r="4" spans="1:31" x14ac:dyDescent="0.25">
      <c r="A4" s="146" t="s">
        <v>54</v>
      </c>
      <c r="B4" s="146" t="s">
        <v>139</v>
      </c>
      <c r="C4" s="146" t="s">
        <v>164</v>
      </c>
      <c r="D4" s="146" t="s">
        <v>165</v>
      </c>
      <c r="E4" s="40">
        <v>20</v>
      </c>
      <c r="F4" s="126">
        <v>7.45</v>
      </c>
      <c r="G4" s="127">
        <v>1</v>
      </c>
      <c r="H4" s="125">
        <v>2</v>
      </c>
      <c r="I4" s="128">
        <v>4</v>
      </c>
      <c r="J4" s="145">
        <v>1.6</v>
      </c>
      <c r="K4" s="127">
        <v>1</v>
      </c>
      <c r="L4" s="125">
        <v>1</v>
      </c>
      <c r="M4" s="125">
        <v>1</v>
      </c>
      <c r="N4" s="125">
        <v>1</v>
      </c>
      <c r="O4" s="125">
        <v>1</v>
      </c>
      <c r="P4" s="128">
        <v>0.85</v>
      </c>
      <c r="Q4" s="127">
        <f>0.21*M4*EXP(11604*0.24*(1/313-(1/('Operating Phases'!D3+273))))</f>
        <v>0.18175604782705748</v>
      </c>
      <c r="R4" s="125">
        <f>0.59*O4</f>
        <v>0.59</v>
      </c>
      <c r="S4" s="125">
        <f>(0.02*L4*'Operating Phases'!$G$3/'Operating Phases'!$B$3)*(MIN('Operating Phases'!$H$3,2)/2)^(1/3)*('Operating Phases'!$E$3/20)^1.9*EXP(1414*(1/313-1/('Operating Phases'!$F$3+273)))</f>
        <v>2.3156685201707115E-3</v>
      </c>
      <c r="T4" s="125">
        <f>0.06*M4*('Operating Phases'!$I$3/0.5)^1.5</f>
        <v>0.06</v>
      </c>
      <c r="U4" s="125">
        <f>0.12*N4*('Operating Phases'!$C$3/70)^4.4*EXP(11604*0.9*(1/293-1/('Operating Phases'!$D$3+273)))</f>
        <v>0.34554488591112531</v>
      </c>
      <c r="V4" s="128">
        <f>(AC4*'Operating Phases'!$Z$3*'Operating Phases'!$AA$3)^(0.511*LN(G4))</f>
        <v>1</v>
      </c>
      <c r="W4" s="127">
        <v>0</v>
      </c>
      <c r="X4" s="125">
        <v>0</v>
      </c>
      <c r="Y4" s="125">
        <f>(0.02*L4*'Operating Phases'!$G$4/'Operating Phases'!$B$4)*(MIN('Operating Phases'!$H$4,2)/2)^(1/3)*('Operating Phases'!$E$4/20)^1.9*EXP(1414*(1/313-1/('Operating Phases'!$F$4+273)))</f>
        <v>1.3685984161765436E-6</v>
      </c>
      <c r="Z4" s="125">
        <f>('Operating Phases'!$I$4/0.5)^1.5</f>
        <v>0</v>
      </c>
      <c r="AA4" s="125">
        <f>0.12*N4*('Operating Phases'!$C$3/70)^4.4*EXP(11604*0.9*(1/293-1/('Operating Phases'!$D$3+273)))</f>
        <v>0.34554488591112531</v>
      </c>
      <c r="AB4" s="128">
        <f>(AC4*'Operating Phases'!$Z$4*'Operating Phases'!$AA$4)^(0.511*LN(G4))</f>
        <v>1</v>
      </c>
      <c r="AC4" s="136">
        <v>1.085697049035097</v>
      </c>
      <c r="AD4" s="125">
        <f>SUM(('Operating Phases'!$B$3/8760)*(L4*Q4+M4*U4+N4*R4+O4*S4+P4*T4)*V4,('Operating Phases'!$B$4/8760)*(L4*W4+M4*AA4+N4*X4+O4*Y4+P4*Z4)*AB4)</f>
        <v>0.37380208833655559</v>
      </c>
      <c r="AE4" s="61">
        <f>AD4*AC4*'Operating Phases'!$AC$3</f>
        <v>1.6233432969206203</v>
      </c>
    </row>
    <row r="5" spans="1:31" ht="15.75" thickBot="1" x14ac:dyDescent="0.3">
      <c r="A5" s="146" t="s">
        <v>55</v>
      </c>
      <c r="B5" s="146" t="s">
        <v>139</v>
      </c>
      <c r="C5" s="146" t="s">
        <v>164</v>
      </c>
      <c r="D5" s="146" t="s">
        <v>165</v>
      </c>
      <c r="E5" s="40">
        <v>20</v>
      </c>
      <c r="F5" s="126">
        <v>7.45</v>
      </c>
      <c r="G5" s="129">
        <v>1</v>
      </c>
      <c r="H5" s="130">
        <v>2</v>
      </c>
      <c r="I5" s="131">
        <v>4</v>
      </c>
      <c r="J5" s="145">
        <v>1.6</v>
      </c>
      <c r="K5" s="129">
        <v>1</v>
      </c>
      <c r="L5" s="130">
        <v>1</v>
      </c>
      <c r="M5" s="130">
        <v>1</v>
      </c>
      <c r="N5" s="130">
        <v>1</v>
      </c>
      <c r="O5" s="130">
        <v>1</v>
      </c>
      <c r="P5" s="131">
        <v>0.85</v>
      </c>
      <c r="Q5" s="129">
        <f>0.21*M5*EXP(11604*0.24*(1/313-(1/('Operating Phases'!D4+273))))</f>
        <v>0.18175604782705748</v>
      </c>
      <c r="R5" s="130">
        <f>0.59*O5</f>
        <v>0.59</v>
      </c>
      <c r="S5" s="130">
        <f>(0.02*L5*'Operating Phases'!$G$3/'Operating Phases'!$B$3)*(MIN('Operating Phases'!$H$3,2)/2)^(1/3)*('Operating Phases'!$E$3/20)^1.9*EXP(1414*(1/313-1/('Operating Phases'!$F$3+273)))</f>
        <v>2.3156685201707115E-3</v>
      </c>
      <c r="T5" s="130">
        <f>0.06*M5*('Operating Phases'!$I$3/0.5)^1.5</f>
        <v>0.06</v>
      </c>
      <c r="U5" s="130">
        <f>0.12*N5*('Operating Phases'!$C$3/70)^4.4*EXP(11604*0.9*(1/293-1/('Operating Phases'!$D$3+273)))</f>
        <v>0.34554488591112531</v>
      </c>
      <c r="V5" s="131">
        <f>(AC5*'Operating Phases'!$Z$3*'Operating Phases'!$AA$3)^(0.511*LN(G5))</f>
        <v>1</v>
      </c>
      <c r="W5" s="129">
        <v>0</v>
      </c>
      <c r="X5" s="130">
        <v>0</v>
      </c>
      <c r="Y5" s="130">
        <f>(0.02*L5*'Operating Phases'!$G$4/'Operating Phases'!$B$4)*(MIN('Operating Phases'!$H$4,2)/2)^(1/3)*('Operating Phases'!$E$4/20)^1.9*EXP(1414*(1/313-1/('Operating Phases'!$F$4+273)))</f>
        <v>1.3685984161765436E-6</v>
      </c>
      <c r="Z5" s="130">
        <f>('Operating Phases'!$I$4/0.5)^1.5</f>
        <v>0</v>
      </c>
      <c r="AA5" s="130">
        <f>0.12*N5*('Operating Phases'!$C$3/70)^4.4*EXP(11604*0.9*(1/293-1/('Operating Phases'!$D$3+273)))</f>
        <v>0.34554488591112531</v>
      </c>
      <c r="AB5" s="131">
        <f>(AC5*'Operating Phases'!$Z$4*'Operating Phases'!$AA$4)^(0.511*LN(G5))</f>
        <v>1</v>
      </c>
      <c r="AC5" s="136">
        <v>1.085697049035097</v>
      </c>
      <c r="AD5" s="125">
        <f>SUM(('Operating Phases'!$B$3/8760)*(L5*Q5+M5*U5+N5*R5+O5*S5+P5*T5)*V5,('Operating Phases'!$B$4/8760)*(L5*W5+M5*AA5+N5*X5+O5*Y5+P5*Z5)*AB5)</f>
        <v>0.37380208833655559</v>
      </c>
      <c r="AE5" s="61">
        <f>AD5*AC5*'Operating Phases'!$AC$3</f>
        <v>1.6233432969206203</v>
      </c>
    </row>
    <row r="6" spans="1:31" ht="15.75" thickBot="1" x14ac:dyDescent="0.3">
      <c r="AD6" s="133" t="s">
        <v>106</v>
      </c>
      <c r="AE6" s="62">
        <f>SUM(AE4:AE5)</f>
        <v>3.2466865938412406</v>
      </c>
    </row>
    <row r="7" spans="1:31" ht="15.75" thickTop="1" x14ac:dyDescent="0.25"/>
  </sheetData>
  <mergeCells count="4">
    <mergeCell ref="G2:I2"/>
    <mergeCell ref="K2:P2"/>
    <mergeCell ref="W2:AB2"/>
    <mergeCell ref="Q2:V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I1" workbookViewId="0">
      <selection activeCell="AG7" sqref="AG7:AH7"/>
    </sheetView>
  </sheetViews>
  <sheetFormatPr defaultRowHeight="15" x14ac:dyDescent="0.25"/>
  <cols>
    <col min="1" max="1" width="7.7109375" customWidth="1"/>
    <col min="2" max="2" width="17" customWidth="1"/>
    <col min="3" max="3" width="15" customWidth="1"/>
    <col min="4" max="4" width="13" customWidth="1"/>
    <col min="11" max="11" width="9.140625" style="124"/>
    <col min="12" max="12" width="9.42578125" style="124" customWidth="1"/>
    <col min="13" max="19" width="9.140625" style="124"/>
    <col min="20" max="20" width="11.28515625" style="124" customWidth="1"/>
    <col min="21" max="21" width="9.140625" style="124"/>
    <col min="22" max="22" width="13.7109375" style="124" customWidth="1"/>
    <col min="23" max="23" width="9.140625" style="124"/>
    <col min="24" max="24" width="11.42578125" style="124" customWidth="1"/>
    <col min="25" max="25" width="10.85546875" style="124" customWidth="1"/>
    <col min="26" max="26" width="11.5703125" style="124" customWidth="1"/>
    <col min="27" max="27" width="12" style="124" bestFit="1" customWidth="1"/>
    <col min="28" max="28" width="13.5703125" style="124" customWidth="1"/>
    <col min="29" max="29" width="9.140625" style="124"/>
    <col min="30" max="30" width="12.28515625" style="124" customWidth="1"/>
    <col min="31" max="31" width="11.140625" style="124" customWidth="1"/>
    <col min="33" max="34" width="9.140625" style="124"/>
  </cols>
  <sheetData>
    <row r="1" spans="1:34" ht="15.75" thickBot="1" x14ac:dyDescent="0.3"/>
    <row r="2" spans="1:34" ht="27.75" customHeight="1" x14ac:dyDescent="0.25">
      <c r="F2" s="203" t="s">
        <v>97</v>
      </c>
      <c r="G2" s="204"/>
      <c r="H2" s="205"/>
      <c r="T2" s="206" t="s">
        <v>76</v>
      </c>
      <c r="U2" s="207"/>
      <c r="V2" s="207"/>
      <c r="W2" s="207"/>
      <c r="X2" s="207"/>
      <c r="Y2" s="208"/>
      <c r="Z2" s="206" t="s">
        <v>77</v>
      </c>
      <c r="AA2" s="207"/>
      <c r="AB2" s="207"/>
      <c r="AC2" s="207"/>
      <c r="AD2" s="207"/>
      <c r="AE2" s="208"/>
    </row>
    <row r="3" spans="1:34" s="1" customFormat="1" ht="18.75" thickBot="1" x14ac:dyDescent="0.4">
      <c r="A3" s="165" t="s">
        <v>0</v>
      </c>
      <c r="B3" s="165" t="s">
        <v>1</v>
      </c>
      <c r="C3" s="165" t="s">
        <v>3</v>
      </c>
      <c r="D3" s="165" t="s">
        <v>4</v>
      </c>
      <c r="E3" s="164" t="s">
        <v>219</v>
      </c>
      <c r="F3" s="168" t="s">
        <v>220</v>
      </c>
      <c r="G3" s="166" t="s">
        <v>221</v>
      </c>
      <c r="H3" s="169" t="s">
        <v>96</v>
      </c>
      <c r="I3" s="167" t="s">
        <v>259</v>
      </c>
      <c r="J3" s="104" t="s">
        <v>268</v>
      </c>
      <c r="K3" s="166" t="s">
        <v>269</v>
      </c>
      <c r="L3" s="166" t="s">
        <v>270</v>
      </c>
      <c r="M3" s="166" t="s">
        <v>271</v>
      </c>
      <c r="N3" s="166" t="s">
        <v>272</v>
      </c>
      <c r="O3" s="166" t="s">
        <v>273</v>
      </c>
      <c r="P3" s="166" t="s">
        <v>274</v>
      </c>
      <c r="Q3" s="166" t="s">
        <v>275</v>
      </c>
      <c r="R3" s="166" t="s">
        <v>276</v>
      </c>
      <c r="S3" s="98" t="s">
        <v>277</v>
      </c>
      <c r="T3" s="161" t="s">
        <v>190</v>
      </c>
      <c r="U3" s="162" t="s">
        <v>191</v>
      </c>
      <c r="V3" s="162" t="s">
        <v>192</v>
      </c>
      <c r="W3" s="162" t="s">
        <v>193</v>
      </c>
      <c r="X3" s="162" t="s">
        <v>278</v>
      </c>
      <c r="Y3" s="163" t="s">
        <v>194</v>
      </c>
      <c r="Z3" s="161" t="s">
        <v>190</v>
      </c>
      <c r="AA3" s="162" t="s">
        <v>191</v>
      </c>
      <c r="AB3" s="162" t="s">
        <v>192</v>
      </c>
      <c r="AC3" s="162" t="s">
        <v>193</v>
      </c>
      <c r="AD3" s="162" t="s">
        <v>278</v>
      </c>
      <c r="AE3" s="163" t="s">
        <v>194</v>
      </c>
      <c r="AF3" s="159" t="s">
        <v>223</v>
      </c>
      <c r="AG3" s="160" t="s">
        <v>230</v>
      </c>
      <c r="AH3" s="81" t="s">
        <v>102</v>
      </c>
    </row>
    <row r="4" spans="1:34" x14ac:dyDescent="0.25">
      <c r="A4" s="171" t="s">
        <v>132</v>
      </c>
      <c r="B4" s="171" t="s">
        <v>133</v>
      </c>
      <c r="C4" s="171" t="s">
        <v>133</v>
      </c>
      <c r="D4" s="171" t="s">
        <v>162</v>
      </c>
      <c r="E4" s="148">
        <v>4.4000000000000004</v>
      </c>
      <c r="F4" s="149">
        <v>1</v>
      </c>
      <c r="G4" s="147">
        <v>2</v>
      </c>
      <c r="H4" s="150">
        <v>4</v>
      </c>
      <c r="I4" s="156">
        <v>1.3</v>
      </c>
      <c r="J4" s="147">
        <v>0.05</v>
      </c>
      <c r="K4" s="147">
        <v>6</v>
      </c>
      <c r="L4" s="147">
        <v>2</v>
      </c>
      <c r="M4" s="147">
        <f>L4^0.5</f>
        <v>1.4142135623730951</v>
      </c>
      <c r="N4" s="147">
        <v>1</v>
      </c>
      <c r="O4" s="147">
        <f>0.2*(N4)^0.25</f>
        <v>0.2</v>
      </c>
      <c r="P4" s="147">
        <v>1</v>
      </c>
      <c r="Q4" s="147">
        <v>1</v>
      </c>
      <c r="R4" s="147">
        <v>1</v>
      </c>
      <c r="S4" s="148">
        <v>1</v>
      </c>
      <c r="T4" s="157">
        <f>0.58*EXP(11604*0.1*(1/293-(1/('Operating Phases'!$C$3+273))))</f>
        <v>0.93332452987113401</v>
      </c>
      <c r="U4" s="154">
        <f>0.04*(12*'Operating Phases'!$G$3/'Operating Phases'!$B$3)*('Operating Phases'!$E$3/20)^4*EXP(1414*(1/313-1/('Operating Phases'!$F$3+273)))</f>
        <v>3.0374999999999999E-2</v>
      </c>
      <c r="V4" s="154">
        <f>0.05*('Operating Phases'!$I$3/0.5)^1.5</f>
        <v>0.05</v>
      </c>
      <c r="W4" s="154">
        <f>0.13*('Operating Phases'!$C$3/70)^4.4*EXP(11604*0.9*(1/293-1/('Operating Phases'!$D$3+273)))</f>
        <v>0.3743402930703858</v>
      </c>
      <c r="X4" s="154">
        <f>0.2*P4*Q4*R4*S4</f>
        <v>0.2</v>
      </c>
      <c r="Y4" s="158">
        <f>(I4*'Operating Phases'!$Z$3*'Operating Phases'!$AA$3)^(0.511*LN(E4))</f>
        <v>3.536692193751513</v>
      </c>
      <c r="Z4" s="157">
        <v>0</v>
      </c>
      <c r="AA4" s="154">
        <f>0.04*(12*'Operating Phases'!$G$4/'Operating Phases'!$B$4)*('Operating Phases'!$E$4/20)^4*EXP(1414*(1/313-1/('Operating Phases'!$F$4+273)))</f>
        <v>1.7952127659574471E-5</v>
      </c>
      <c r="AB4" s="154">
        <f>0.05*('Operating Phases'!$I$3/0.5)^1.5</f>
        <v>0.05</v>
      </c>
      <c r="AC4" s="154">
        <f>0.13*('Operating Phases'!$C$3/70)^4.4*EXP(11604*0.9*(1/293-1/('Operating Phases'!$D$3+273)))</f>
        <v>0.3743402930703858</v>
      </c>
      <c r="AD4" s="154">
        <f>0.2*P4*Q4*R4*S4</f>
        <v>0.2</v>
      </c>
      <c r="AE4" s="158">
        <f>(I4*'Operating Phases'!$Z$4*'Operating Phases'!$AA$4)^(0.511*LN(E4))</f>
        <v>1.8228014399896841</v>
      </c>
      <c r="AF4" s="27">
        <f>SUM(('Operating Phases'!$B$3/8760)*(T4*U4*V4*W4*X4)*Y4,('Operating Phases'!$B$4/8760)*(Z4+AA4+AB4+AC4+AD4)*AE4)</f>
        <v>1.0991185817443589</v>
      </c>
      <c r="AG4" s="135">
        <f>EXP(1.39*(1-((F4+G4+1)*H4/36))-0.69)</f>
        <v>1.085697049035097</v>
      </c>
      <c r="AH4" s="57">
        <f>AF4*AG4*'Operating Phases'!$AC$3</f>
        <v>4.7732392029579662</v>
      </c>
    </row>
    <row r="5" spans="1:34" x14ac:dyDescent="0.25">
      <c r="A5" s="171" t="s">
        <v>134</v>
      </c>
      <c r="B5" s="171" t="s">
        <v>135</v>
      </c>
      <c r="C5" s="171" t="s">
        <v>163</v>
      </c>
      <c r="D5" s="171" t="s">
        <v>162</v>
      </c>
      <c r="E5" s="148">
        <v>4.4000000000000004</v>
      </c>
      <c r="F5" s="149">
        <v>1</v>
      </c>
      <c r="G5" s="147">
        <v>2</v>
      </c>
      <c r="H5" s="150">
        <v>4</v>
      </c>
      <c r="I5" s="156">
        <v>1.3</v>
      </c>
      <c r="J5" s="147">
        <v>0.05</v>
      </c>
      <c r="K5" s="147">
        <v>6</v>
      </c>
      <c r="L5" s="147">
        <v>8</v>
      </c>
      <c r="M5" s="147">
        <f t="shared" ref="M5:M6" si="0">L5^0.5</f>
        <v>2.8284271247461903</v>
      </c>
      <c r="N5" s="147">
        <v>15</v>
      </c>
      <c r="O5" s="147">
        <f t="shared" ref="O5:O6" si="1">0.2*(N5)^0.25</f>
        <v>0.39359793425308609</v>
      </c>
      <c r="P5" s="147">
        <v>1</v>
      </c>
      <c r="Q5" s="147">
        <v>1</v>
      </c>
      <c r="R5" s="147">
        <v>1</v>
      </c>
      <c r="S5" s="148">
        <v>1</v>
      </c>
      <c r="T5" s="157">
        <f>0.58*EXP(11604*0.1*(1/293-(1/('Operating Phases'!$C$3+273))))</f>
        <v>0.93332452987113401</v>
      </c>
      <c r="U5" s="154">
        <f>0.04*(12*'Operating Phases'!$G$3/'Operating Phases'!$B$3)*('Operating Phases'!$E$3/20)^4*EXP(1414*(1/313-1/('Operating Phases'!$F$3+273)))</f>
        <v>3.0374999999999999E-2</v>
      </c>
      <c r="V5" s="154">
        <f>0.05*('Operating Phases'!$I$3/0.5)^1.5</f>
        <v>0.05</v>
      </c>
      <c r="W5" s="154">
        <f>0.13*('Operating Phases'!$C$3/70)^4.4*EXP(11604*0.9*(1/293-1/('Operating Phases'!$D$3+273)))</f>
        <v>0.3743402930703858</v>
      </c>
      <c r="X5" s="154">
        <f t="shared" ref="X5:X6" si="2">0.2*P5*Q5*R5*S5</f>
        <v>0.2</v>
      </c>
      <c r="Y5" s="158">
        <f>(I5*'Operating Phases'!$Z$3*'Operating Phases'!$AA$3)^(0.511*LN(E5))</f>
        <v>3.536692193751513</v>
      </c>
      <c r="Z5" s="157">
        <v>0</v>
      </c>
      <c r="AA5" s="154">
        <f>0.04*(12*'Operating Phases'!$G$4/'Operating Phases'!$B$4)*('Operating Phases'!$E$4/20)^4*EXP(1414*(1/313-1/('Operating Phases'!$F$4+273)))</f>
        <v>1.7952127659574471E-5</v>
      </c>
      <c r="AB5" s="154">
        <f>0.05*('Operating Phases'!$I$3/0.5)^1.5</f>
        <v>0.05</v>
      </c>
      <c r="AC5" s="154">
        <f>0.13*('Operating Phases'!$C$3/70)^4.4*EXP(11604*0.9*(1/293-1/('Operating Phases'!$D$3+273)))</f>
        <v>0.3743402930703858</v>
      </c>
      <c r="AD5" s="154">
        <f t="shared" ref="AD5:AD6" si="3">0.2*P5*Q5*R5*S5</f>
        <v>0.2</v>
      </c>
      <c r="AE5" s="158">
        <f>(I5*'Operating Phases'!$Z$4*'Operating Phases'!$AA$4)^(0.511*LN(E5))</f>
        <v>1.8228014399896841</v>
      </c>
      <c r="AF5" s="154">
        <f>SUM(('Operating Phases'!$B$3/8760)*(T5*U5*V5*W5*X5)*Y5,('Operating Phases'!$B$4/8760)*(Z5+AA5+AB5+AC5+AD5)*AE5)</f>
        <v>1.0991185817443589</v>
      </c>
      <c r="AG5" s="155">
        <f t="shared" ref="AG5:AG6" si="4">EXP(1.39*(1-((F5+G5+1)*H5/36))-0.69)</f>
        <v>1.085697049035097</v>
      </c>
      <c r="AH5" s="57">
        <f>AF5*AG5*'Operating Phases'!$AC$3</f>
        <v>4.7732392029579662</v>
      </c>
    </row>
    <row r="6" spans="1:34" ht="15.75" thickBot="1" x14ac:dyDescent="0.3">
      <c r="A6" s="171" t="s">
        <v>40</v>
      </c>
      <c r="B6" s="171" t="s">
        <v>125</v>
      </c>
      <c r="C6" s="171" t="s">
        <v>156</v>
      </c>
      <c r="D6" s="171" t="s">
        <v>157</v>
      </c>
      <c r="E6" s="148">
        <v>4.4000000000000004</v>
      </c>
      <c r="F6" s="151">
        <v>1</v>
      </c>
      <c r="G6" s="152">
        <v>2</v>
      </c>
      <c r="H6" s="153">
        <v>4</v>
      </c>
      <c r="I6" s="156">
        <v>1.3</v>
      </c>
      <c r="J6" s="147">
        <v>0.05</v>
      </c>
      <c r="K6" s="147">
        <v>6</v>
      </c>
      <c r="L6" s="147">
        <v>3</v>
      </c>
      <c r="M6" s="147">
        <f t="shared" si="0"/>
        <v>1.7320508075688772</v>
      </c>
      <c r="N6" s="147">
        <v>60</v>
      </c>
      <c r="O6" s="147">
        <f t="shared" si="1"/>
        <v>0.55663153674274812</v>
      </c>
      <c r="P6" s="147">
        <v>1</v>
      </c>
      <c r="Q6" s="147">
        <v>1</v>
      </c>
      <c r="R6" s="147">
        <v>1</v>
      </c>
      <c r="S6" s="148">
        <v>1</v>
      </c>
      <c r="T6" s="41">
        <f>0.58*EXP(11604*0.1*(1/293-(1/('Operating Phases'!$C$3+273))))</f>
        <v>0.93332452987113401</v>
      </c>
      <c r="U6" s="170">
        <f>0.04*(12*'Operating Phases'!$G$3/'Operating Phases'!$B$3)*('Operating Phases'!$E$3/20)^4*EXP(1414*(1/313-1/('Operating Phases'!$F$3+273)))</f>
        <v>3.0374999999999999E-2</v>
      </c>
      <c r="V6" s="170">
        <f>0.05*('Operating Phases'!$I$3/0.5)^1.5</f>
        <v>0.05</v>
      </c>
      <c r="W6" s="170">
        <f>0.13*('Operating Phases'!$C$3/70)^4.4*EXP(11604*0.9*(1/293-1/('Operating Phases'!$D$3+273)))</f>
        <v>0.3743402930703858</v>
      </c>
      <c r="X6" s="170">
        <f t="shared" si="2"/>
        <v>0.2</v>
      </c>
      <c r="Y6" s="43">
        <f>(I6*'Operating Phases'!$Z$3*'Operating Phases'!$AA$3)^(0.511*LN(E6))</f>
        <v>3.536692193751513</v>
      </c>
      <c r="Z6" s="41">
        <v>0</v>
      </c>
      <c r="AA6" s="170">
        <f>0.04*(12*'Operating Phases'!$G$4/'Operating Phases'!$B$4)*('Operating Phases'!$E$4/20)^4*EXP(1414*(1/313-1/('Operating Phases'!$F$4+273)))</f>
        <v>1.7952127659574471E-5</v>
      </c>
      <c r="AB6" s="170">
        <f>0.05*('Operating Phases'!$I$3/0.5)^1.5</f>
        <v>0.05</v>
      </c>
      <c r="AC6" s="170">
        <f>0.13*('Operating Phases'!$C$3/70)^4.4*EXP(11604*0.9*(1/293-1/('Operating Phases'!$D$3+273)))</f>
        <v>0.3743402930703858</v>
      </c>
      <c r="AD6" s="170">
        <f t="shared" si="3"/>
        <v>0.2</v>
      </c>
      <c r="AE6" s="43">
        <f>(I6*'Operating Phases'!$Z$4*'Operating Phases'!$AA$4)^(0.511*LN(E6))</f>
        <v>1.8228014399896841</v>
      </c>
      <c r="AF6" s="154">
        <f>SUM(('Operating Phases'!$B$3/8760)*(T6*U6*V6*W6*X6)*Y6,('Operating Phases'!$B$4/8760)*(Z6+AA6+AB6+AC6+AD6)*AE6)</f>
        <v>1.0991185817443589</v>
      </c>
      <c r="AG6" s="155">
        <f t="shared" si="4"/>
        <v>1.085697049035097</v>
      </c>
      <c r="AH6" s="57">
        <f>AF6*AG6*'Operating Phases'!$AC$3</f>
        <v>4.7732392029579662</v>
      </c>
    </row>
    <row r="7" spans="1:34" ht="15.75" thickBot="1" x14ac:dyDescent="0.3">
      <c r="AG7" s="132" t="s">
        <v>106</v>
      </c>
      <c r="AH7" s="59">
        <f>SUM(AH4:AH6)</f>
        <v>14.319717608873898</v>
      </c>
    </row>
    <row r="8" spans="1:34" ht="15.75" thickTop="1" x14ac:dyDescent="0.25"/>
  </sheetData>
  <mergeCells count="3">
    <mergeCell ref="F2:H2"/>
    <mergeCell ref="T2:Y2"/>
    <mergeCell ref="Z2:AE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opLeftCell="E1" workbookViewId="0">
      <selection activeCell="Z12" sqref="Z12"/>
    </sheetView>
  </sheetViews>
  <sheetFormatPr defaultRowHeight="15" x14ac:dyDescent="0.25"/>
  <cols>
    <col min="5" max="5" width="9.140625" customWidth="1"/>
    <col min="6" max="6" width="12.42578125" customWidth="1"/>
    <col min="7" max="7" width="10.42578125" customWidth="1"/>
    <col min="14" max="14" width="10.5703125" customWidth="1"/>
  </cols>
  <sheetData>
    <row r="1" spans="1:32" x14ac:dyDescent="0.25">
      <c r="A1" s="190"/>
      <c r="B1" s="190"/>
      <c r="C1" s="190"/>
      <c r="D1" s="190"/>
      <c r="E1" s="190"/>
      <c r="F1" s="203" t="s">
        <v>97</v>
      </c>
      <c r="G1" s="204"/>
      <c r="H1" s="205"/>
      <c r="I1" s="190"/>
      <c r="J1" s="190"/>
      <c r="K1" s="190"/>
      <c r="L1" s="190"/>
      <c r="M1" s="190"/>
      <c r="N1" s="190"/>
      <c r="O1" s="190"/>
      <c r="P1" s="190"/>
      <c r="Q1" s="203" t="s">
        <v>76</v>
      </c>
      <c r="R1" s="204"/>
      <c r="S1" s="204"/>
      <c r="T1" s="204"/>
      <c r="U1" s="204"/>
      <c r="V1" s="205"/>
      <c r="W1" s="203" t="s">
        <v>77</v>
      </c>
      <c r="X1" s="204"/>
      <c r="Y1" s="204"/>
      <c r="Z1" s="204"/>
      <c r="AA1" s="204"/>
      <c r="AB1" s="205"/>
      <c r="AC1" s="190"/>
      <c r="AD1" s="190"/>
      <c r="AE1" s="190"/>
      <c r="AF1" s="190"/>
    </row>
    <row r="2" spans="1:32" s="191" customFormat="1" ht="18" x14ac:dyDescent="0.35">
      <c r="A2" s="185" t="s">
        <v>0</v>
      </c>
      <c r="B2" s="185" t="s">
        <v>1</v>
      </c>
      <c r="C2" s="185" t="s">
        <v>3</v>
      </c>
      <c r="D2" s="185" t="s">
        <v>4</v>
      </c>
      <c r="E2" s="182" t="s">
        <v>219</v>
      </c>
      <c r="F2" s="188" t="s">
        <v>220</v>
      </c>
      <c r="G2" s="201" t="s">
        <v>221</v>
      </c>
      <c r="H2" s="189" t="s">
        <v>96</v>
      </c>
      <c r="I2" s="187" t="s">
        <v>259</v>
      </c>
      <c r="J2" s="172" t="s">
        <v>279</v>
      </c>
      <c r="K2" s="186" t="s">
        <v>275</v>
      </c>
      <c r="L2" s="186" t="s">
        <v>276</v>
      </c>
      <c r="M2" s="186" t="s">
        <v>277</v>
      </c>
      <c r="N2" s="186" t="s">
        <v>280</v>
      </c>
      <c r="O2" s="186" t="s">
        <v>281</v>
      </c>
      <c r="P2" s="98" t="s">
        <v>282</v>
      </c>
      <c r="Q2" s="188" t="s">
        <v>190</v>
      </c>
      <c r="R2" s="186" t="s">
        <v>267</v>
      </c>
      <c r="S2" s="186" t="s">
        <v>192</v>
      </c>
      <c r="T2" s="180" t="s">
        <v>193</v>
      </c>
      <c r="U2" s="180" t="s">
        <v>283</v>
      </c>
      <c r="V2" s="184" t="s">
        <v>284</v>
      </c>
      <c r="W2" s="183" t="s">
        <v>285</v>
      </c>
      <c r="X2" s="180" t="s">
        <v>286</v>
      </c>
      <c r="Y2" s="180" t="s">
        <v>192</v>
      </c>
      <c r="Z2" s="180" t="s">
        <v>193</v>
      </c>
      <c r="AA2" s="180" t="s">
        <v>283</v>
      </c>
      <c r="AB2" s="184" t="s">
        <v>194</v>
      </c>
      <c r="AC2" s="187" t="s">
        <v>223</v>
      </c>
      <c r="AD2" s="186" t="s">
        <v>230</v>
      </c>
      <c r="AE2" s="45" t="s">
        <v>102</v>
      </c>
    </row>
    <row r="3" spans="1:32" s="190" customFormat="1" ht="15.75" thickBot="1" x14ac:dyDescent="0.3">
      <c r="A3" s="192" t="s">
        <v>121</v>
      </c>
      <c r="B3" s="192" t="s">
        <v>122</v>
      </c>
      <c r="C3" s="192" t="s">
        <v>153</v>
      </c>
      <c r="D3" s="192" t="s">
        <v>154</v>
      </c>
      <c r="E3" s="175">
        <v>5.8</v>
      </c>
      <c r="F3" s="176">
        <v>0</v>
      </c>
      <c r="G3" s="177">
        <v>2</v>
      </c>
      <c r="H3" s="178">
        <v>4</v>
      </c>
      <c r="I3" s="181">
        <v>1.3</v>
      </c>
      <c r="J3" s="174">
        <v>1</v>
      </c>
      <c r="K3" s="174">
        <v>1</v>
      </c>
      <c r="L3" s="174">
        <v>2</v>
      </c>
      <c r="M3" s="174">
        <v>1.5</v>
      </c>
      <c r="N3" s="174">
        <v>15</v>
      </c>
      <c r="O3" s="174">
        <v>100</v>
      </c>
      <c r="P3" s="175">
        <v>0.5</v>
      </c>
      <c r="Q3" s="176">
        <f>0.13*((1/0.8)*(N3/O3))^(1.5)*EXP(11604*0.15*(1/293-(1/('Operating Phases'!$C$3+273))))</f>
        <v>2.1545287336253448E-2</v>
      </c>
      <c r="R3" s="177">
        <f>0.51*(12*'Operating Phases'!$G$3/'Operating Phases'!$B$3)*((MIN('Operating Phases'!$H$3,2))/2)^(1/3)*('Operating Phases'!$E$3/20)^(1.9)*EXP(1414*(1/313-1/('Operating Phases'!$F$3+273)))</f>
        <v>0.70859456717223768</v>
      </c>
      <c r="S3" s="177">
        <f>0.06*('Operating Phases'!$I$3/0.5)^1.5</f>
        <v>0.06</v>
      </c>
      <c r="T3" s="177">
        <v>0</v>
      </c>
      <c r="U3" s="177">
        <f>0.06*J3*M3*K3*L3</f>
        <v>0.18</v>
      </c>
      <c r="V3" s="178">
        <f>(I3*'Operating Phases'!$Z$3*'Operating Phases'!$AA$3)^(0.511*LN(E3))</f>
        <v>4.4759606890952339</v>
      </c>
      <c r="W3" s="176">
        <v>0</v>
      </c>
      <c r="X3" s="177">
        <f>0.51*(12*'Operating Phases'!$G$4/'Operating Phases'!$B$4)*((MIN('Operating Phases'!$H$4,2))/2)^(1/3)*('Operating Phases'!$E$4/20)^(1.9)*EXP(1414*(1/313-1/('Operating Phases'!$F$4+273)))</f>
        <v>4.1879111535002235E-4</v>
      </c>
      <c r="Y3" s="177">
        <f>0.05*('Operating Phases'!$I$4/0.5)^1.5</f>
        <v>0</v>
      </c>
      <c r="Z3" s="177">
        <f>0.24*('Operating Phases'!$C$4/70)^4.4*EXP(11604*0.9*(1/293-1/('Operating Phases'!$D$4+273)))</f>
        <v>0.69108977182225062</v>
      </c>
      <c r="AA3" s="177">
        <f>0.06*J3*K3*M3*L3</f>
        <v>0.18</v>
      </c>
      <c r="AB3" s="178">
        <f>(I3*'Operating Phases'!$Z$4*'Operating Phases'!$AA$4)^(0.511*LN(E3))</f>
        <v>2.0387109805955115</v>
      </c>
      <c r="AC3" s="181">
        <f>EXP(1.39*(1-((F3+G3+1)*H3/36))-0.69)</f>
        <v>1.2670187078082644</v>
      </c>
      <c r="AD3" s="174">
        <f>P3*SUM(('Operating Phases'!$B$3/8760)*(Q3+R3+S3+T3+U3)*V3,('Operating Phases'!$B$4/8760)*(W3+X3+Y3+Z3+AA3)*AB3)</f>
        <v>0.93230775379319486</v>
      </c>
      <c r="AE3" s="106">
        <f>AD3*AC3*'Operating Phases'!$AC$3</f>
        <v>4.7250054619627173</v>
      </c>
    </row>
    <row r="4" spans="1:32" s="173" customFormat="1" ht="15.75" thickBot="1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79" t="s">
        <v>106</v>
      </c>
      <c r="AE4" s="59">
        <f>SUM(AE3)</f>
        <v>4.7250054619627173</v>
      </c>
      <c r="AF4" s="190"/>
    </row>
    <row r="5" spans="1:32" ht="15.75" thickTop="1" x14ac:dyDescent="0.25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</row>
    <row r="6" spans="1:32" x14ac:dyDescent="0.25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</row>
    <row r="7" spans="1:32" x14ac:dyDescent="0.25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</row>
    <row r="8" spans="1:32" x14ac:dyDescent="0.25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</row>
  </sheetData>
  <mergeCells count="3">
    <mergeCell ref="F1:H1"/>
    <mergeCell ref="Q1:V1"/>
    <mergeCell ref="W1:AB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opLeftCell="H1" workbookViewId="0">
      <selection activeCell="AD14" sqref="AD14"/>
    </sheetView>
  </sheetViews>
  <sheetFormatPr defaultRowHeight="15" x14ac:dyDescent="0.25"/>
  <cols>
    <col min="5" max="5" width="11.140625" customWidth="1"/>
    <col min="6" max="6" width="12.140625" customWidth="1"/>
    <col min="7" max="7" width="10.85546875" customWidth="1"/>
    <col min="8" max="8" width="14.5703125" customWidth="1"/>
    <col min="9" max="10" width="13.42578125" customWidth="1"/>
    <col min="12" max="12" width="13.28515625" customWidth="1"/>
    <col min="13" max="13" width="16.28515625" customWidth="1"/>
    <col min="25" max="25" width="12" bestFit="1" customWidth="1"/>
    <col min="31" max="31" width="11" customWidth="1"/>
  </cols>
  <sheetData>
    <row r="1" spans="1:32" ht="15.75" thickBot="1" x14ac:dyDescent="0.3"/>
    <row r="2" spans="1:32" x14ac:dyDescent="0.25">
      <c r="G2" s="211" t="s">
        <v>97</v>
      </c>
      <c r="H2" s="212"/>
      <c r="I2" s="213"/>
      <c r="T2" s="206" t="s">
        <v>76</v>
      </c>
      <c r="U2" s="207"/>
      <c r="V2" s="207"/>
      <c r="W2" s="207"/>
      <c r="X2" s="208"/>
      <c r="Y2" s="206" t="s">
        <v>77</v>
      </c>
      <c r="Z2" s="207"/>
      <c r="AA2" s="207"/>
      <c r="AB2" s="207"/>
      <c r="AC2" s="208"/>
    </row>
    <row r="3" spans="1:32" s="24" customFormat="1" ht="18" x14ac:dyDescent="0.3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197" t="s">
        <v>219</v>
      </c>
      <c r="G3" s="199" t="s">
        <v>220</v>
      </c>
      <c r="H3" s="195" t="s">
        <v>221</v>
      </c>
      <c r="I3" s="35" t="s">
        <v>96</v>
      </c>
      <c r="J3" s="198" t="s">
        <v>259</v>
      </c>
      <c r="K3" s="196" t="s">
        <v>287</v>
      </c>
      <c r="L3" s="195" t="s">
        <v>288</v>
      </c>
      <c r="M3" s="195" t="s">
        <v>289</v>
      </c>
      <c r="N3" s="195" t="s">
        <v>290</v>
      </c>
      <c r="O3" s="195" t="s">
        <v>274</v>
      </c>
      <c r="P3" s="195" t="s">
        <v>275</v>
      </c>
      <c r="Q3" s="195" t="s">
        <v>276</v>
      </c>
      <c r="R3" s="195" t="s">
        <v>277</v>
      </c>
      <c r="S3" s="197" t="s">
        <v>291</v>
      </c>
      <c r="T3" s="199" t="s">
        <v>191</v>
      </c>
      <c r="U3" s="195" t="s">
        <v>192</v>
      </c>
      <c r="V3" s="195" t="s">
        <v>193</v>
      </c>
      <c r="W3" s="195" t="s">
        <v>278</v>
      </c>
      <c r="X3" s="200" t="s">
        <v>194</v>
      </c>
      <c r="Y3" s="199" t="s">
        <v>191</v>
      </c>
      <c r="Z3" s="195" t="s">
        <v>192</v>
      </c>
      <c r="AA3" s="195" t="s">
        <v>193</v>
      </c>
      <c r="AB3" s="195" t="s">
        <v>278</v>
      </c>
      <c r="AC3" s="200" t="s">
        <v>194</v>
      </c>
      <c r="AD3" s="195" t="s">
        <v>223</v>
      </c>
      <c r="AE3" s="198" t="s">
        <v>230</v>
      </c>
      <c r="AF3" s="193" t="s">
        <v>102</v>
      </c>
    </row>
    <row r="4" spans="1:32" ht="15.75" thickBot="1" x14ac:dyDescent="0.3">
      <c r="A4" s="25" t="s">
        <v>101</v>
      </c>
      <c r="B4" s="25"/>
      <c r="C4" s="25"/>
      <c r="D4" s="25"/>
      <c r="E4" s="25"/>
      <c r="F4" s="3">
        <v>6.5</v>
      </c>
      <c r="G4" s="8">
        <v>1</v>
      </c>
      <c r="H4" s="9">
        <v>2</v>
      </c>
      <c r="I4" s="10">
        <v>4</v>
      </c>
      <c r="J4" s="30">
        <v>1</v>
      </c>
      <c r="K4" s="2">
        <v>2</v>
      </c>
      <c r="L4" s="194">
        <v>206</v>
      </c>
      <c r="M4" s="194">
        <v>0.25</v>
      </c>
      <c r="N4" s="194">
        <v>1</v>
      </c>
      <c r="O4" s="194">
        <v>1</v>
      </c>
      <c r="P4" s="194">
        <v>1</v>
      </c>
      <c r="Q4" s="194">
        <v>1</v>
      </c>
      <c r="R4" s="194">
        <v>1</v>
      </c>
      <c r="S4" s="3">
        <f>5*10^(-4)*K4^0.5*L4/2*M4*N4</f>
        <v>1.82079996155536E-2</v>
      </c>
      <c r="T4" s="8">
        <f>0.06*(12*'Operating Phases'!$G$3/'Operating Phases'!$B$3)*('Operating Phases'!$E$3/20)^4*EXP(1414*(1/313-1/('Operating Phases'!$F$3+273)))</f>
        <v>4.5562499999999999E-2</v>
      </c>
      <c r="U4" s="9">
        <f>0.2*('Operating Phases'!$I$3/0.5)^1.5</f>
        <v>0.2</v>
      </c>
      <c r="V4" s="9">
        <f>0.18*('Operating Phases'!$C$3/70)^4.4*EXP(11604*0.9*(1/293-1/('Operating Phases'!$D$3+273)))</f>
        <v>0.51831732886668802</v>
      </c>
      <c r="W4" s="9">
        <f>0.2*O4*P4*Q4*R4</f>
        <v>0.2</v>
      </c>
      <c r="X4" s="10">
        <f>(J4*'Operating Phases'!$Z$3*'Operating Phases'!$AA$3)^(0.511*LN(F4))</f>
        <v>3.8378756269538181</v>
      </c>
      <c r="Y4" s="8">
        <f>0.06*(12*'Operating Phases'!$G$4/'Operating Phases'!$B$4)*('Operating Phases'!$E$4/20)^4*EXP(1414*(1/313-1/('Operating Phases'!$F$4+273)))</f>
        <v>2.6928191489361704E-5</v>
      </c>
      <c r="Z4" s="9">
        <f>0.2*('Operating Phases'!$I$3/0.5)^1.5</f>
        <v>0.2</v>
      </c>
      <c r="AA4" s="9">
        <f>0.18*('Operating Phases'!$C$3/70)^4.4*EXP(11604*0.9*(1/293-1/('Operating Phases'!$D$3+273)))</f>
        <v>0.51831732886668802</v>
      </c>
      <c r="AB4" s="9">
        <f>0.2*O4*P4*Q4*R4</f>
        <v>0.2</v>
      </c>
      <c r="AC4" s="10">
        <f>(J4*'Operating Phases'!$Z$4*'Operating Phases'!$AA$4)^(0.511*LN(F4))</f>
        <v>1.6612014406388913</v>
      </c>
      <c r="AD4" s="2">
        <f>EXP(1.39*(1-((G4+H4+1)*I4/36))-0.69)</f>
        <v>1.085697049035097</v>
      </c>
      <c r="AE4" s="30">
        <f>S4*SUM(('Operating Phases'!$B$3/8760)*(T4*U4*V4*W4)*X4,('Operating Phases'!$B$4/8760)*(Y4+Z4+AA4+AB4)*AC4)</f>
        <v>2.6828284473994515E-2</v>
      </c>
      <c r="AF4" s="58">
        <f>AE4*AD4*'Operating Phases'!$AC$3</f>
        <v>0.11650955713635981</v>
      </c>
    </row>
    <row r="5" spans="1:32" ht="15.75" thickBot="1" x14ac:dyDescent="0.3">
      <c r="AE5" s="20" t="s">
        <v>106</v>
      </c>
      <c r="AF5" s="59">
        <f>SUM(AF4)</f>
        <v>0.11650955713635981</v>
      </c>
    </row>
    <row r="6" spans="1:32" ht="15.75" thickTop="1" x14ac:dyDescent="0.25"/>
  </sheetData>
  <mergeCells count="3">
    <mergeCell ref="G2:I2"/>
    <mergeCell ref="T2:X2"/>
    <mergeCell ref="Y2:AC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workbookViewId="0">
      <selection activeCell="B2" sqref="B2:D18"/>
    </sheetView>
  </sheetViews>
  <sheetFormatPr defaultRowHeight="15" x14ac:dyDescent="0.25"/>
  <cols>
    <col min="2" max="2" width="40.7109375" customWidth="1"/>
    <col min="4" max="4" width="33.140625" customWidth="1"/>
  </cols>
  <sheetData>
    <row r="1" spans="2:4" ht="15.75" thickBot="1" x14ac:dyDescent="0.3"/>
    <row r="2" spans="2:4" ht="23.25" customHeight="1" x14ac:dyDescent="0.35">
      <c r="B2" s="214" t="s">
        <v>63</v>
      </c>
      <c r="C2" s="215"/>
      <c r="D2" s="216"/>
    </row>
    <row r="3" spans="2:4" ht="15" customHeight="1" x14ac:dyDescent="0.25">
      <c r="B3" s="22"/>
      <c r="C3" s="21"/>
      <c r="D3" s="23"/>
    </row>
    <row r="4" spans="2:4" ht="15.75" thickBot="1" x14ac:dyDescent="0.3">
      <c r="B4" s="4"/>
      <c r="C4" s="201" t="s">
        <v>103</v>
      </c>
      <c r="D4" s="5"/>
    </row>
    <row r="5" spans="2:4" ht="17.25" x14ac:dyDescent="0.25">
      <c r="B5" s="149" t="s">
        <v>292</v>
      </c>
      <c r="C5" s="154">
        <f>'Ceramic Capacitors'!AN19</f>
        <v>2.3115737184675189</v>
      </c>
      <c r="D5" s="7" t="s">
        <v>66</v>
      </c>
    </row>
    <row r="6" spans="2:4" ht="17.25" x14ac:dyDescent="0.25">
      <c r="B6" s="6" t="s">
        <v>60</v>
      </c>
      <c r="C6" s="2">
        <f>Resistors!AI13</f>
        <v>8.8840207646926156E-2</v>
      </c>
      <c r="D6" s="7" t="s">
        <v>66</v>
      </c>
    </row>
    <row r="7" spans="2:4" ht="17.25" x14ac:dyDescent="0.25">
      <c r="B7" s="149" t="s">
        <v>293</v>
      </c>
      <c r="C7" s="2">
        <f>'Discrete semiconductors'!AE8</f>
        <v>0.86437484921911023</v>
      </c>
      <c r="D7" s="7" t="s">
        <v>66</v>
      </c>
    </row>
    <row r="8" spans="2:4" ht="17.25" x14ac:dyDescent="0.25">
      <c r="B8" s="6" t="s">
        <v>251</v>
      </c>
      <c r="C8" s="2">
        <f>LEDs!AE7</f>
        <v>0.63915051111227383</v>
      </c>
      <c r="D8" s="7" t="s">
        <v>66</v>
      </c>
    </row>
    <row r="9" spans="2:4" ht="17.25" x14ac:dyDescent="0.25">
      <c r="B9" s="6" t="s">
        <v>61</v>
      </c>
      <c r="C9" s="2">
        <f>Microcircuits!AM9</f>
        <v>0.82088584035987944</v>
      </c>
      <c r="D9" s="7" t="s">
        <v>66</v>
      </c>
    </row>
    <row r="10" spans="2:4" ht="17.25" x14ac:dyDescent="0.25">
      <c r="B10" s="6" t="s">
        <v>252</v>
      </c>
      <c r="C10" s="2">
        <f>'DCDC converter'!AE5</f>
        <v>34.48654266087523</v>
      </c>
      <c r="D10" s="7" t="s">
        <v>66</v>
      </c>
    </row>
    <row r="11" spans="2:4" ht="17.25" x14ac:dyDescent="0.25">
      <c r="B11" s="6" t="s">
        <v>181</v>
      </c>
      <c r="C11" s="2">
        <f>Inductors!AA7</f>
        <v>5.514983330859697E-2</v>
      </c>
      <c r="D11" s="7" t="s">
        <v>66</v>
      </c>
    </row>
    <row r="12" spans="2:4" ht="17.25" x14ac:dyDescent="0.25">
      <c r="B12" s="6" t="s">
        <v>62</v>
      </c>
      <c r="C12" s="2">
        <f>Switches!AE6</f>
        <v>3.2466865938412406</v>
      </c>
      <c r="D12" s="7" t="s">
        <v>66</v>
      </c>
    </row>
    <row r="13" spans="2:4" ht="17.25" x14ac:dyDescent="0.25">
      <c r="B13" s="6" t="s">
        <v>104</v>
      </c>
      <c r="C13" s="2">
        <f>Connectors!AH7</f>
        <v>14.319717608873898</v>
      </c>
      <c r="D13" s="7" t="s">
        <v>66</v>
      </c>
    </row>
    <row r="14" spans="2:4" ht="17.25" x14ac:dyDescent="0.25">
      <c r="B14" s="6" t="s">
        <v>182</v>
      </c>
      <c r="C14" s="2">
        <f>Fuses!AE4</f>
        <v>4.7250054619627173</v>
      </c>
      <c r="D14" s="7" t="s">
        <v>66</v>
      </c>
    </row>
    <row r="15" spans="2:4" ht="17.25" x14ac:dyDescent="0.25">
      <c r="B15" s="6" t="s">
        <v>101</v>
      </c>
      <c r="C15" s="2">
        <f>PCB!AF5</f>
        <v>0.11650955713635981</v>
      </c>
      <c r="D15" s="7" t="s">
        <v>66</v>
      </c>
    </row>
    <row r="16" spans="2:4" x14ac:dyDescent="0.25">
      <c r="B16" s="15" t="s">
        <v>65</v>
      </c>
      <c r="C16" s="14">
        <f>SUM(C5:C15)</f>
        <v>61.674436842803757</v>
      </c>
      <c r="D16" s="16" t="s">
        <v>69</v>
      </c>
    </row>
    <row r="17" spans="2:4" x14ac:dyDescent="0.25">
      <c r="B17" s="15" t="s">
        <v>64</v>
      </c>
      <c r="C17" s="14">
        <f>(10^6)/C16</f>
        <v>16214.173184082849</v>
      </c>
      <c r="D17" s="16" t="s">
        <v>67</v>
      </c>
    </row>
    <row r="18" spans="2:4" ht="15.75" thickBot="1" x14ac:dyDescent="0.3">
      <c r="B18" s="17" t="s">
        <v>64</v>
      </c>
      <c r="C18" s="18">
        <f>C17/9000</f>
        <v>1.8015747982314276</v>
      </c>
      <c r="D18" s="19" t="s">
        <v>68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"/>
  <sheetViews>
    <sheetView topLeftCell="E1" workbookViewId="0">
      <selection activeCell="E3" sqref="E3"/>
    </sheetView>
  </sheetViews>
  <sheetFormatPr defaultRowHeight="15" x14ac:dyDescent="0.25"/>
  <cols>
    <col min="1" max="1" width="43.42578125" customWidth="1"/>
    <col min="2" max="2" width="14" customWidth="1"/>
    <col min="3" max="3" width="16.140625" customWidth="1"/>
    <col min="4" max="4" width="19.85546875" customWidth="1"/>
    <col min="5" max="5" width="14.28515625" customWidth="1"/>
    <col min="6" max="6" width="17.42578125" customWidth="1"/>
    <col min="7" max="7" width="15.5703125" customWidth="1"/>
    <col min="26" max="26" width="14" customWidth="1"/>
    <col min="27" max="27" width="13.42578125" customWidth="1"/>
    <col min="29" max="29" width="11.28515625" customWidth="1"/>
  </cols>
  <sheetData>
    <row r="1" spans="1:29" x14ac:dyDescent="0.25">
      <c r="A1" s="47"/>
      <c r="B1" s="47"/>
      <c r="C1" s="47"/>
      <c r="D1" s="47"/>
      <c r="E1" s="47"/>
      <c r="F1" s="47"/>
      <c r="G1" s="47"/>
      <c r="H1" s="47"/>
      <c r="I1" s="47"/>
      <c r="J1" s="202" t="s">
        <v>80</v>
      </c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"/>
      <c r="AA1" s="2"/>
      <c r="AB1" s="2"/>
      <c r="AC1" s="2"/>
    </row>
    <row r="2" spans="1:29" s="1" customFormat="1" ht="18.75" thickBot="1" x14ac:dyDescent="0.4">
      <c r="A2" s="55" t="s">
        <v>75</v>
      </c>
      <c r="B2" s="55" t="s">
        <v>197</v>
      </c>
      <c r="C2" s="55" t="s">
        <v>198</v>
      </c>
      <c r="D2" s="55" t="s">
        <v>199</v>
      </c>
      <c r="E2" s="56" t="s">
        <v>200</v>
      </c>
      <c r="F2" s="55" t="s">
        <v>201</v>
      </c>
      <c r="G2" s="55" t="s">
        <v>202</v>
      </c>
      <c r="H2" s="56" t="s">
        <v>203</v>
      </c>
      <c r="I2" s="55" t="s">
        <v>204</v>
      </c>
      <c r="J2" s="55" t="s">
        <v>79</v>
      </c>
      <c r="K2" s="55" t="s">
        <v>82</v>
      </c>
      <c r="L2" s="55" t="s">
        <v>81</v>
      </c>
      <c r="M2" s="55" t="s">
        <v>83</v>
      </c>
      <c r="N2" s="55" t="s">
        <v>84</v>
      </c>
      <c r="O2" s="55" t="s">
        <v>85</v>
      </c>
      <c r="P2" s="55" t="s">
        <v>86</v>
      </c>
      <c r="Q2" s="55" t="s">
        <v>87</v>
      </c>
      <c r="R2" s="55" t="s">
        <v>88</v>
      </c>
      <c r="S2" s="55" t="s">
        <v>89</v>
      </c>
      <c r="T2" s="55" t="s">
        <v>90</v>
      </c>
      <c r="U2" s="55" t="s">
        <v>91</v>
      </c>
      <c r="V2" s="55" t="s">
        <v>92</v>
      </c>
      <c r="W2" s="55" t="s">
        <v>93</v>
      </c>
      <c r="X2" s="55" t="s">
        <v>94</v>
      </c>
      <c r="Y2" s="55" t="s">
        <v>95</v>
      </c>
      <c r="Z2" s="55" t="s">
        <v>205</v>
      </c>
      <c r="AA2" s="55" t="s">
        <v>206</v>
      </c>
      <c r="AB2" s="55"/>
      <c r="AC2" s="55" t="s">
        <v>207</v>
      </c>
    </row>
    <row r="3" spans="1:29" x14ac:dyDescent="0.25">
      <c r="A3" s="2" t="s">
        <v>73</v>
      </c>
      <c r="B3" s="45">
        <v>300</v>
      </c>
      <c r="C3" s="45">
        <v>60</v>
      </c>
      <c r="D3" s="46">
        <v>35</v>
      </c>
      <c r="E3" s="46">
        <v>15</v>
      </c>
      <c r="F3" s="46">
        <v>40</v>
      </c>
      <c r="G3" s="46">
        <v>60</v>
      </c>
      <c r="H3" s="46">
        <v>5</v>
      </c>
      <c r="I3" s="46">
        <v>0.5</v>
      </c>
      <c r="J3" s="46">
        <v>3.2</v>
      </c>
      <c r="K3" s="40">
        <v>20</v>
      </c>
      <c r="L3" s="46">
        <v>3.2</v>
      </c>
      <c r="M3" s="40">
        <v>10</v>
      </c>
      <c r="N3" s="46">
        <v>3.2</v>
      </c>
      <c r="O3" s="40">
        <v>4</v>
      </c>
      <c r="P3" s="46">
        <v>1</v>
      </c>
      <c r="Q3" s="40">
        <v>15</v>
      </c>
      <c r="R3" s="46">
        <v>1</v>
      </c>
      <c r="S3" s="40">
        <v>4</v>
      </c>
      <c r="T3" s="46">
        <v>3.2</v>
      </c>
      <c r="U3" s="40">
        <v>8</v>
      </c>
      <c r="V3" s="46">
        <v>1</v>
      </c>
      <c r="W3" s="40">
        <v>3</v>
      </c>
      <c r="X3" s="46">
        <v>1</v>
      </c>
      <c r="Y3" s="40">
        <v>2</v>
      </c>
      <c r="Z3" s="45">
        <f>1/66*SUM(J3*K3,L3*M3,N3*O3,P3*Q3,R3*S3,T3*U3,V3*W3,X3*Y3)</f>
        <v>2.4000000000000004</v>
      </c>
      <c r="AA3" s="40">
        <v>1.7</v>
      </c>
      <c r="AB3" s="40"/>
      <c r="AC3" s="40">
        <v>4</v>
      </c>
    </row>
    <row r="4" spans="1:29" x14ac:dyDescent="0.25">
      <c r="A4" s="2" t="s">
        <v>74</v>
      </c>
      <c r="B4" s="45">
        <f>8760-B3</f>
        <v>8460</v>
      </c>
      <c r="C4" s="45">
        <v>60</v>
      </c>
      <c r="D4" s="46">
        <v>35</v>
      </c>
      <c r="E4" s="46">
        <v>15</v>
      </c>
      <c r="F4" s="46">
        <v>40</v>
      </c>
      <c r="G4" s="46">
        <v>1</v>
      </c>
      <c r="H4" s="46">
        <f>B4</f>
        <v>8460</v>
      </c>
      <c r="I4" s="46">
        <v>0</v>
      </c>
      <c r="J4" s="46">
        <v>1</v>
      </c>
      <c r="K4" s="40">
        <v>20</v>
      </c>
      <c r="L4" s="46">
        <v>1</v>
      </c>
      <c r="M4" s="40">
        <v>10</v>
      </c>
      <c r="N4" s="46">
        <v>1</v>
      </c>
      <c r="O4" s="40">
        <v>4</v>
      </c>
      <c r="P4" s="46">
        <v>1</v>
      </c>
      <c r="Q4" s="40">
        <v>15</v>
      </c>
      <c r="R4" s="46">
        <v>1</v>
      </c>
      <c r="S4" s="40">
        <v>4</v>
      </c>
      <c r="T4" s="46">
        <v>1</v>
      </c>
      <c r="U4" s="40">
        <v>8</v>
      </c>
      <c r="V4" s="46">
        <v>1</v>
      </c>
      <c r="W4" s="40">
        <v>3</v>
      </c>
      <c r="X4" s="46">
        <v>1</v>
      </c>
      <c r="Y4" s="40">
        <v>2</v>
      </c>
      <c r="Z4" s="45">
        <f>1/66*SUM(J4*K4,L4*M4,N4*O4,P4*Q4,R4*S4,T4*U4,V4*W4,X4*Y4)</f>
        <v>1</v>
      </c>
      <c r="AA4" s="40">
        <v>1.7</v>
      </c>
      <c r="AB4" s="40"/>
      <c r="AC4" s="40">
        <v>4</v>
      </c>
    </row>
  </sheetData>
  <mergeCells count="1">
    <mergeCell ref="J1:Y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topLeftCell="AC1" zoomScale="90" zoomScaleNormal="90" workbookViewId="0">
      <selection activeCell="AV19" sqref="AV19"/>
    </sheetView>
  </sheetViews>
  <sheetFormatPr defaultRowHeight="15" x14ac:dyDescent="0.25"/>
  <cols>
    <col min="4" max="4" width="30.28515625" customWidth="1"/>
    <col min="6" max="13" width="0" hidden="1" customWidth="1"/>
    <col min="14" max="14" width="9.140625" customWidth="1"/>
    <col min="15" max="15" width="9.140625" hidden="1" customWidth="1"/>
    <col min="18" max="18" width="10.42578125" customWidth="1"/>
    <col min="19" max="23" width="12.140625" customWidth="1"/>
    <col min="24" max="24" width="12.5703125" customWidth="1"/>
    <col min="25" max="26" width="12" customWidth="1"/>
    <col min="27" max="27" width="10.85546875" customWidth="1"/>
    <col min="30" max="30" width="16.85546875" customWidth="1"/>
    <col min="31" max="31" width="13.140625" customWidth="1"/>
    <col min="32" max="32" width="14.28515625" customWidth="1"/>
    <col min="33" max="33" width="13.7109375" customWidth="1"/>
    <col min="34" max="34" width="15" customWidth="1"/>
    <col min="38" max="38" width="12.140625" customWidth="1"/>
    <col min="39" max="39" width="13.7109375" customWidth="1"/>
    <col min="40" max="40" width="9.5703125" customWidth="1"/>
  </cols>
  <sheetData>
    <row r="1" spans="1:40" ht="41.25" customHeight="1" thickBot="1" x14ac:dyDescent="0.3"/>
    <row r="2" spans="1:40" ht="12.75" customHeight="1" x14ac:dyDescent="0.25">
      <c r="T2" s="203" t="s">
        <v>97</v>
      </c>
      <c r="U2" s="204"/>
      <c r="V2" s="205"/>
      <c r="X2" s="206" t="s">
        <v>72</v>
      </c>
      <c r="Y2" s="207"/>
      <c r="Z2" s="207"/>
      <c r="AA2" s="207"/>
      <c r="AB2" s="207"/>
      <c r="AC2" s="208"/>
      <c r="AD2" s="206" t="s">
        <v>76</v>
      </c>
      <c r="AE2" s="207"/>
      <c r="AF2" s="207"/>
      <c r="AG2" s="208"/>
      <c r="AH2" s="206" t="s">
        <v>77</v>
      </c>
      <c r="AI2" s="207"/>
      <c r="AJ2" s="207"/>
      <c r="AK2" s="208"/>
    </row>
    <row r="3" spans="1:40" s="13" customFormat="1" ht="39" customHeight="1" thickBot="1" x14ac:dyDescent="0.4">
      <c r="A3" s="52" t="s">
        <v>0</v>
      </c>
      <c r="B3" s="52" t="s">
        <v>1</v>
      </c>
      <c r="C3" s="52" t="s">
        <v>3</v>
      </c>
      <c r="D3" s="52" t="s">
        <v>4</v>
      </c>
      <c r="E3" s="52" t="s">
        <v>215</v>
      </c>
      <c r="F3" s="52" t="s">
        <v>5</v>
      </c>
      <c r="G3" s="52" t="s">
        <v>6</v>
      </c>
      <c r="H3" s="52" t="s">
        <v>7</v>
      </c>
      <c r="I3" s="52" t="s">
        <v>8</v>
      </c>
      <c r="J3" s="52" t="s">
        <v>9</v>
      </c>
      <c r="K3" s="52" t="s">
        <v>10</v>
      </c>
      <c r="L3" s="52" t="s">
        <v>11</v>
      </c>
      <c r="M3" s="52" t="s">
        <v>12</v>
      </c>
      <c r="N3" s="52" t="s">
        <v>57</v>
      </c>
      <c r="O3" s="52" t="s">
        <v>14</v>
      </c>
      <c r="P3" s="52" t="s">
        <v>216</v>
      </c>
      <c r="Q3" s="52" t="s">
        <v>217</v>
      </c>
      <c r="R3" s="52" t="s">
        <v>218</v>
      </c>
      <c r="S3" s="53" t="s">
        <v>219</v>
      </c>
      <c r="T3" s="66" t="s">
        <v>220</v>
      </c>
      <c r="U3" s="65" t="s">
        <v>221</v>
      </c>
      <c r="V3" s="87" t="s">
        <v>96</v>
      </c>
      <c r="W3" s="90" t="s">
        <v>222</v>
      </c>
      <c r="X3" s="76" t="s">
        <v>224</v>
      </c>
      <c r="Y3" s="67" t="s">
        <v>98</v>
      </c>
      <c r="Z3" s="67" t="s">
        <v>225</v>
      </c>
      <c r="AA3" s="84" t="s">
        <v>226</v>
      </c>
      <c r="AB3" s="80" t="s">
        <v>227</v>
      </c>
      <c r="AC3" s="82" t="s">
        <v>228</v>
      </c>
      <c r="AD3" s="76" t="s">
        <v>229</v>
      </c>
      <c r="AE3" s="67" t="s">
        <v>191</v>
      </c>
      <c r="AF3" s="67" t="s">
        <v>192</v>
      </c>
      <c r="AG3" s="82" t="s">
        <v>194</v>
      </c>
      <c r="AH3" s="76" t="s">
        <v>229</v>
      </c>
      <c r="AI3" s="67" t="s">
        <v>191</v>
      </c>
      <c r="AJ3" s="67" t="s">
        <v>192</v>
      </c>
      <c r="AK3" s="82" t="s">
        <v>194</v>
      </c>
      <c r="AL3" s="75" t="s">
        <v>223</v>
      </c>
      <c r="AM3" s="90" t="s">
        <v>230</v>
      </c>
      <c r="AN3" s="77" t="s">
        <v>102</v>
      </c>
    </row>
    <row r="4" spans="1:40" x14ac:dyDescent="0.25">
      <c r="A4" s="50" t="s">
        <v>15</v>
      </c>
      <c r="B4" s="51" t="s">
        <v>16</v>
      </c>
      <c r="C4" s="51" t="s">
        <v>109</v>
      </c>
      <c r="D4" s="50" t="s">
        <v>17</v>
      </c>
      <c r="E4" s="50" t="s">
        <v>18</v>
      </c>
      <c r="F4" s="50"/>
      <c r="G4" s="50"/>
      <c r="H4" s="50"/>
      <c r="I4" s="50"/>
      <c r="J4" s="50"/>
      <c r="K4" s="50"/>
      <c r="L4" s="50"/>
      <c r="M4" s="50"/>
      <c r="N4" s="50">
        <v>35</v>
      </c>
      <c r="O4" s="50"/>
      <c r="P4" s="50">
        <v>16</v>
      </c>
      <c r="Q4" s="40">
        <v>5</v>
      </c>
      <c r="R4" s="40">
        <v>5</v>
      </c>
      <c r="S4" s="28">
        <v>6.05</v>
      </c>
      <c r="T4" s="31">
        <v>0</v>
      </c>
      <c r="U4" s="27">
        <v>2</v>
      </c>
      <c r="V4" s="32">
        <v>4</v>
      </c>
      <c r="W4" s="29">
        <v>1.3</v>
      </c>
      <c r="X4" s="31">
        <v>0.15</v>
      </c>
      <c r="Y4" s="27">
        <v>0.1</v>
      </c>
      <c r="Z4" s="27">
        <v>0.3</v>
      </c>
      <c r="AA4" s="27">
        <v>0.7</v>
      </c>
      <c r="AB4" s="27">
        <v>0.28000000000000003</v>
      </c>
      <c r="AC4" s="32">
        <v>0.02</v>
      </c>
      <c r="AD4" s="31">
        <f>AA4*(1/Z4*R4/P4)^3*EXP(11604*Y4*(1/293-1/('Operating Phases'!$D$3+273)))</f>
        <v>0.95951064277347886</v>
      </c>
      <c r="AE4" s="27">
        <f>AB4*(12*'Operating Phases'!$G$3/'Operating Phases'!$B$3)*(MIN('Operating Phases'!$H$3,2)/2)^(1/3)*('Operating Phases'!$E$3/20)^1.9*EXP(1414*(1/313-1/('Operating Phases'!$F$3+273)))</f>
        <v>0.38903231138867955</v>
      </c>
      <c r="AF4" s="27">
        <f>AC4*('Operating Phases'!$I$3/0.5)^1.5</f>
        <v>0.02</v>
      </c>
      <c r="AG4" s="32">
        <f>(W4*'Operating Phases'!$Z$3*'Operating Phases'!$AA$3)^(0.511*LN(S4))</f>
        <v>4.6399349289012317</v>
      </c>
      <c r="AH4" s="31">
        <v>0</v>
      </c>
      <c r="AI4" s="27">
        <f>AB4*(12*'Operating Phases'!$G$4/'Operating Phases'!$B$4)*(MIN('Operating Phases'!$H$4,2)/2)^(1/3)*('Operating Phases'!$E$4/20)^1.9*EXP(1414*(1/313-1/('Operating Phases'!$F$4+273)))</f>
        <v>2.2992453391765933E-4</v>
      </c>
      <c r="AJ4" s="27">
        <f>AC4*('Operating Phases'!$I$4/0.5)^1.5</f>
        <v>0</v>
      </c>
      <c r="AK4" s="32">
        <f>(W4*'Operating Phases'!$Z$4*'Operating Phases'!$AA$4)^(0.511*LN(S4))</f>
        <v>2.0738735291086479</v>
      </c>
      <c r="AL4" s="28">
        <f t="shared" ref="AL4:AL18" si="0">EXP(1.39*(1-((T4+U4)*V4/24))-0.69)</f>
        <v>1.2670187078082644</v>
      </c>
      <c r="AM4" s="29">
        <f>X4*SUM(('Operating Phases'!$B$3/8760)*(AD4+AE4+AF4)*AG4,('Operating Phases'!$B$4/8760)*(AH4+AI4+AJ4)*AK4)</f>
        <v>3.2688683141753209E-2</v>
      </c>
      <c r="AN4" s="60">
        <f>AM4*AL4*'Operating Phases'!$AC$3</f>
        <v>0.16566869229687178</v>
      </c>
    </row>
    <row r="5" spans="1:40" x14ac:dyDescent="0.25">
      <c r="A5" s="40" t="s">
        <v>19</v>
      </c>
      <c r="B5" s="51" t="s">
        <v>16</v>
      </c>
      <c r="C5" s="51" t="s">
        <v>109</v>
      </c>
      <c r="D5" s="40" t="s">
        <v>17</v>
      </c>
      <c r="E5" s="50" t="s">
        <v>18</v>
      </c>
      <c r="F5" s="40"/>
      <c r="G5" s="40"/>
      <c r="H5" s="40"/>
      <c r="I5" s="40"/>
      <c r="J5" s="40"/>
      <c r="K5" s="40"/>
      <c r="L5" s="40"/>
      <c r="M5" s="40"/>
      <c r="N5" s="50">
        <v>35</v>
      </c>
      <c r="O5" s="40"/>
      <c r="P5" s="40">
        <v>16</v>
      </c>
      <c r="Q5" s="40">
        <v>5</v>
      </c>
      <c r="R5" s="40">
        <v>5</v>
      </c>
      <c r="S5" s="28">
        <v>6.05</v>
      </c>
      <c r="T5" s="6">
        <v>0</v>
      </c>
      <c r="U5" s="2">
        <v>2</v>
      </c>
      <c r="V5" s="7">
        <v>4</v>
      </c>
      <c r="W5" s="30">
        <v>1.3</v>
      </c>
      <c r="X5" s="31">
        <v>0.15</v>
      </c>
      <c r="Y5" s="27">
        <v>0.1</v>
      </c>
      <c r="Z5" s="27">
        <v>0.3</v>
      </c>
      <c r="AA5" s="27">
        <v>0.7</v>
      </c>
      <c r="AB5" s="27">
        <v>0.28000000000000003</v>
      </c>
      <c r="AC5" s="32">
        <v>0.02</v>
      </c>
      <c r="AD5" s="6">
        <f>AA5*(1/Z5*R5/P5)^3*EXP(11604*Y5*(1/293-1/('Operating Phases'!$D$3+273)))</f>
        <v>0.95951064277347886</v>
      </c>
      <c r="AE5" s="2">
        <f>AB5*(12*'Operating Phases'!$G$3/'Operating Phases'!$B$3)*(MIN('Operating Phases'!$H$3,2)/2)^(1/3)*('Operating Phases'!$E$3/20)^1.9*EXP(1414*(1/313-1/('Operating Phases'!$F$3+273)))</f>
        <v>0.38903231138867955</v>
      </c>
      <c r="AF5" s="2">
        <f>AC5*('Operating Phases'!$I$3/0.5)^1.5</f>
        <v>0.02</v>
      </c>
      <c r="AG5" s="7">
        <f>(W5*'Operating Phases'!$Z$3*'Operating Phases'!$AA$3)^(0.511*LN(S5))</f>
        <v>4.6399349289012317</v>
      </c>
      <c r="AH5" s="6">
        <v>0</v>
      </c>
      <c r="AI5" s="2">
        <f>AB5*(12*'Operating Phases'!$G$4/'Operating Phases'!$B$4)*(MIN('Operating Phases'!$H$4,2)/2)^(1/3)*('Operating Phases'!$E$4/20)^1.9*EXP(1414*(1/313-1/('Operating Phases'!$F$4+273)))</f>
        <v>2.2992453391765933E-4</v>
      </c>
      <c r="AJ5" s="2">
        <f>AC5*('Operating Phases'!$I$4/0.5)^1.5</f>
        <v>0</v>
      </c>
      <c r="AK5" s="7">
        <f>(W5*'Operating Phases'!$Z$4*'Operating Phases'!$AA$4)^(0.511*LN(S5))</f>
        <v>2.0738735291086479</v>
      </c>
      <c r="AL5" s="3">
        <f t="shared" si="0"/>
        <v>1.2670187078082644</v>
      </c>
      <c r="AM5" s="30">
        <f>X5*SUM(('Operating Phases'!$B$3/8760)*(AD5+AE5+AF5)*AG5,('Operating Phases'!$B$4/8760)*(AH5+AI5+AJ5)*AK5)</f>
        <v>3.2688683141753209E-2</v>
      </c>
      <c r="AN5" s="61">
        <f>AM5*AL5*'Operating Phases'!$AC$3</f>
        <v>0.16566869229687178</v>
      </c>
    </row>
    <row r="6" spans="1:40" x14ac:dyDescent="0.25">
      <c r="A6" s="40" t="s">
        <v>20</v>
      </c>
      <c r="B6" s="51" t="s">
        <v>16</v>
      </c>
      <c r="C6" s="51" t="s">
        <v>109</v>
      </c>
      <c r="D6" s="40" t="s">
        <v>17</v>
      </c>
      <c r="E6" s="40" t="s">
        <v>18</v>
      </c>
      <c r="F6" s="40"/>
      <c r="G6" s="40"/>
      <c r="H6" s="40"/>
      <c r="I6" s="40"/>
      <c r="J6" s="40"/>
      <c r="K6" s="40"/>
      <c r="L6" s="40"/>
      <c r="M6" s="40"/>
      <c r="N6" s="50">
        <v>35</v>
      </c>
      <c r="O6" s="40"/>
      <c r="P6" s="40">
        <v>16</v>
      </c>
      <c r="Q6" s="40">
        <v>5</v>
      </c>
      <c r="R6" s="40">
        <v>5</v>
      </c>
      <c r="S6" s="3">
        <v>6.05</v>
      </c>
      <c r="T6" s="6">
        <v>0</v>
      </c>
      <c r="U6" s="2">
        <v>2</v>
      </c>
      <c r="V6" s="7">
        <v>4</v>
      </c>
      <c r="W6" s="30">
        <v>1.3</v>
      </c>
      <c r="X6" s="6">
        <v>0.15</v>
      </c>
      <c r="Y6" s="2">
        <v>0.1</v>
      </c>
      <c r="Z6" s="2">
        <v>0.3</v>
      </c>
      <c r="AA6" s="2">
        <v>0.7</v>
      </c>
      <c r="AB6" s="2">
        <v>0.28000000000000003</v>
      </c>
      <c r="AC6" s="7">
        <v>0.02</v>
      </c>
      <c r="AD6" s="6">
        <f>AA6*(1/Z6*R6/P6)^3*EXP(11604*Y6*(1/293-1/('Operating Phases'!$D$3+273)))</f>
        <v>0.95951064277347886</v>
      </c>
      <c r="AE6" s="2">
        <f>AB6*(12*'Operating Phases'!$G$3/'Operating Phases'!$B$3)*(MIN('Operating Phases'!$H$3,2)/2)^(1/3)*('Operating Phases'!$E$3/20)^1.9*EXP(1414*(1/313-1/('Operating Phases'!$F$3+273)))</f>
        <v>0.38903231138867955</v>
      </c>
      <c r="AF6" s="2">
        <f>AC6*('Operating Phases'!$I$3/0.5)^1.5</f>
        <v>0.02</v>
      </c>
      <c r="AG6" s="7">
        <f>(W6*'Operating Phases'!$Z$3*'Operating Phases'!$AA$3)^(0.511*LN(S6))</f>
        <v>4.6399349289012317</v>
      </c>
      <c r="AH6" s="6">
        <v>0</v>
      </c>
      <c r="AI6" s="2">
        <f>AB6*(12*'Operating Phases'!$G$4/'Operating Phases'!$B$4)*(MIN('Operating Phases'!$H$4,2)/2)^(1/3)*('Operating Phases'!$E$4/20)^1.9*EXP(1414*(1/313-1/('Operating Phases'!$F$4+273)))</f>
        <v>2.2992453391765933E-4</v>
      </c>
      <c r="AJ6" s="2">
        <f>AC6*('Operating Phases'!$I$4/0.5)^1.5</f>
        <v>0</v>
      </c>
      <c r="AK6" s="7">
        <f>(W6*'Operating Phases'!$Z$4*'Operating Phases'!$AA$4)^(0.511*LN(S6))</f>
        <v>2.0738735291086479</v>
      </c>
      <c r="AL6" s="3">
        <f t="shared" si="0"/>
        <v>1.2670187078082644</v>
      </c>
      <c r="AM6" s="30">
        <f>X6*SUM(('Operating Phases'!$B$3/8760)*(AD6+AE6+AF6)*AG6,('Operating Phases'!$B$4/8760)*(AH6+AI6+AJ6)*AK6)</f>
        <v>3.2688683141753209E-2</v>
      </c>
      <c r="AN6" s="61">
        <f>AM6*AL6*'Operating Phases'!$AC$3</f>
        <v>0.16566869229687178</v>
      </c>
    </row>
    <row r="7" spans="1:40" x14ac:dyDescent="0.25">
      <c r="A7" s="40" t="s">
        <v>21</v>
      </c>
      <c r="B7" s="51" t="s">
        <v>16</v>
      </c>
      <c r="C7" s="51" t="s">
        <v>109</v>
      </c>
      <c r="D7" s="40" t="s">
        <v>17</v>
      </c>
      <c r="E7" s="40" t="s">
        <v>18</v>
      </c>
      <c r="F7" s="40"/>
      <c r="G7" s="40"/>
      <c r="H7" s="40"/>
      <c r="I7" s="40"/>
      <c r="J7" s="40"/>
      <c r="K7" s="40"/>
      <c r="L7" s="40"/>
      <c r="M7" s="40"/>
      <c r="N7" s="50">
        <v>35</v>
      </c>
      <c r="O7" s="40"/>
      <c r="P7" s="40">
        <v>16</v>
      </c>
      <c r="Q7" s="40">
        <v>5</v>
      </c>
      <c r="R7" s="40">
        <v>5</v>
      </c>
      <c r="S7" s="3">
        <v>6.05</v>
      </c>
      <c r="T7" s="6">
        <v>0</v>
      </c>
      <c r="U7" s="2">
        <v>2</v>
      </c>
      <c r="V7" s="7">
        <v>4</v>
      </c>
      <c r="W7" s="30">
        <v>1.3</v>
      </c>
      <c r="X7" s="6">
        <v>0.15</v>
      </c>
      <c r="Y7" s="2">
        <v>0.1</v>
      </c>
      <c r="Z7" s="2">
        <v>0.3</v>
      </c>
      <c r="AA7" s="2">
        <v>0.7</v>
      </c>
      <c r="AB7" s="2">
        <v>0.28000000000000003</v>
      </c>
      <c r="AC7" s="7">
        <v>0.02</v>
      </c>
      <c r="AD7" s="6">
        <f>AA7*(1/Z7*R7/P7)^3*EXP(11604*Y7*(1/293-1/('Operating Phases'!$D$3+273)))</f>
        <v>0.95951064277347886</v>
      </c>
      <c r="AE7" s="2">
        <f>AB7*(12*'Operating Phases'!$G$3/'Operating Phases'!$B$3)*(MIN('Operating Phases'!$H$3,2)/2)^(1/3)*('Operating Phases'!$E$3/20)^1.9*EXP(1414*(1/313-1/('Operating Phases'!$F$3+273)))</f>
        <v>0.38903231138867955</v>
      </c>
      <c r="AF7" s="2">
        <f>AC7*('Operating Phases'!$I$3/0.5)^1.5</f>
        <v>0.02</v>
      </c>
      <c r="AG7" s="7">
        <f>(W7*'Operating Phases'!$Z$3*'Operating Phases'!$AA$3)^(0.511*LN(S7))</f>
        <v>4.6399349289012317</v>
      </c>
      <c r="AH7" s="6">
        <v>0</v>
      </c>
      <c r="AI7" s="2">
        <f>AB7*(12*'Operating Phases'!$G$4/'Operating Phases'!$B$4)*(MIN('Operating Phases'!$H$4,2)/2)^(1/3)*('Operating Phases'!$E$4/20)^1.9*EXP(1414*(1/313-1/('Operating Phases'!$F$4+273)))</f>
        <v>2.2992453391765933E-4</v>
      </c>
      <c r="AJ7" s="2">
        <f>AC7*('Operating Phases'!$I$4/0.5)^1.5</f>
        <v>0</v>
      </c>
      <c r="AK7" s="7">
        <f>(W7*'Operating Phases'!$Z$4*'Operating Phases'!$AA$4)^(0.511*LN(S7))</f>
        <v>2.0738735291086479</v>
      </c>
      <c r="AL7" s="3">
        <f t="shared" si="0"/>
        <v>1.2670187078082644</v>
      </c>
      <c r="AM7" s="30">
        <f>X7*SUM(('Operating Phases'!$B$3/8760)*(AD7+AE7+AF7)*AG7,('Operating Phases'!$B$4/8760)*(AH7+AI7+AJ7)*AK7)</f>
        <v>3.2688683141753209E-2</v>
      </c>
      <c r="AN7" s="61">
        <f>AM7*AL7*'Operating Phases'!$AC$3</f>
        <v>0.16566869229687178</v>
      </c>
    </row>
    <row r="8" spans="1:40" x14ac:dyDescent="0.25">
      <c r="A8" s="40" t="s">
        <v>22</v>
      </c>
      <c r="B8" s="51" t="s">
        <v>16</v>
      </c>
      <c r="C8" s="51" t="s">
        <v>109</v>
      </c>
      <c r="D8" s="40" t="s">
        <v>17</v>
      </c>
      <c r="E8" s="40" t="s">
        <v>18</v>
      </c>
      <c r="F8" s="40"/>
      <c r="G8" s="40"/>
      <c r="H8" s="40"/>
      <c r="I8" s="40"/>
      <c r="J8" s="40"/>
      <c r="K8" s="40"/>
      <c r="L8" s="40"/>
      <c r="M8" s="40"/>
      <c r="N8" s="50">
        <v>35</v>
      </c>
      <c r="O8" s="40"/>
      <c r="P8" s="40">
        <v>16</v>
      </c>
      <c r="Q8" s="40">
        <v>5</v>
      </c>
      <c r="R8" s="40">
        <v>5</v>
      </c>
      <c r="S8" s="3">
        <v>6.05</v>
      </c>
      <c r="T8" s="6">
        <v>0</v>
      </c>
      <c r="U8" s="2">
        <v>2</v>
      </c>
      <c r="V8" s="7">
        <v>4</v>
      </c>
      <c r="W8" s="30">
        <v>1.3</v>
      </c>
      <c r="X8" s="6">
        <v>0.15</v>
      </c>
      <c r="Y8" s="2">
        <v>0.1</v>
      </c>
      <c r="Z8" s="2">
        <v>0.3</v>
      </c>
      <c r="AA8" s="2">
        <v>0.7</v>
      </c>
      <c r="AB8" s="2">
        <v>0.28000000000000003</v>
      </c>
      <c r="AC8" s="7">
        <v>0.02</v>
      </c>
      <c r="AD8" s="6">
        <f>AA8*(1/Z8*R8/P8)^3*EXP(11604*Y8*(1/293-1/('Operating Phases'!$D$3+273)))</f>
        <v>0.95951064277347886</v>
      </c>
      <c r="AE8" s="2">
        <f>AB8*(12*'Operating Phases'!$G$3/'Operating Phases'!$B$3)*(MIN('Operating Phases'!$H$3,2)/2)^(1/3)*('Operating Phases'!$E$3/20)^1.9*EXP(1414*(1/313-1/('Operating Phases'!$F$3+273)))</f>
        <v>0.38903231138867955</v>
      </c>
      <c r="AF8" s="2">
        <f>AC8*('Operating Phases'!$I$3/0.5)^1.5</f>
        <v>0.02</v>
      </c>
      <c r="AG8" s="7">
        <f>(W8*'Operating Phases'!$Z$3*'Operating Phases'!$AA$3)^(0.511*LN(S8))</f>
        <v>4.6399349289012317</v>
      </c>
      <c r="AH8" s="6">
        <v>0</v>
      </c>
      <c r="AI8" s="2">
        <f>AB8*(12*'Operating Phases'!$G$4/'Operating Phases'!$B$4)*(MIN('Operating Phases'!$H$4,2)/2)^(1/3)*('Operating Phases'!$E$4/20)^1.9*EXP(1414*(1/313-1/('Operating Phases'!$F$4+273)))</f>
        <v>2.2992453391765933E-4</v>
      </c>
      <c r="AJ8" s="2">
        <f>AC8*('Operating Phases'!$I$4/0.5)^1.5</f>
        <v>0</v>
      </c>
      <c r="AK8" s="7">
        <f>(W8*'Operating Phases'!$Z$4*'Operating Phases'!$AA$4)^(0.511*LN(S8))</f>
        <v>2.0738735291086479</v>
      </c>
      <c r="AL8" s="3">
        <f t="shared" si="0"/>
        <v>1.2670187078082644</v>
      </c>
      <c r="AM8" s="30">
        <f>X8*SUM(('Operating Phases'!$B$3/8760)*(AD8+AE8+AF8)*AG8,('Operating Phases'!$B$4/8760)*(AH8+AI8+AJ8)*AK8)</f>
        <v>3.2688683141753209E-2</v>
      </c>
      <c r="AN8" s="61">
        <f>AM8*AL8*'Operating Phases'!$AC$3</f>
        <v>0.16566869229687178</v>
      </c>
    </row>
    <row r="9" spans="1:40" x14ac:dyDescent="0.25">
      <c r="A9" s="40" t="s">
        <v>23</v>
      </c>
      <c r="B9" s="51" t="s">
        <v>107</v>
      </c>
      <c r="C9" s="51" t="s">
        <v>110</v>
      </c>
      <c r="D9" s="40" t="s">
        <v>17</v>
      </c>
      <c r="E9" s="40" t="s">
        <v>18</v>
      </c>
      <c r="F9" s="40"/>
      <c r="G9" s="40"/>
      <c r="H9" s="40"/>
      <c r="I9" s="40"/>
      <c r="J9" s="40"/>
      <c r="K9" s="40"/>
      <c r="L9" s="40"/>
      <c r="M9" s="40"/>
      <c r="N9" s="50">
        <v>35</v>
      </c>
      <c r="O9" s="40"/>
      <c r="P9" s="40">
        <v>16</v>
      </c>
      <c r="Q9" s="40">
        <v>5</v>
      </c>
      <c r="R9" s="40">
        <v>5</v>
      </c>
      <c r="S9" s="3">
        <v>6.05</v>
      </c>
      <c r="T9" s="6">
        <v>0</v>
      </c>
      <c r="U9" s="2">
        <v>2</v>
      </c>
      <c r="V9" s="7">
        <v>4</v>
      </c>
      <c r="W9" s="30">
        <v>1.3</v>
      </c>
      <c r="X9" s="6">
        <v>0.15</v>
      </c>
      <c r="Y9" s="2">
        <v>0.1</v>
      </c>
      <c r="Z9" s="2">
        <v>0.3</v>
      </c>
      <c r="AA9" s="2">
        <v>0.7</v>
      </c>
      <c r="AB9" s="2">
        <v>0.28000000000000003</v>
      </c>
      <c r="AC9" s="7">
        <v>0.02</v>
      </c>
      <c r="AD9" s="6">
        <f>AA9*(1/Z9*R9/P9)^3*EXP(11604*Y9*(1/293-1/('Operating Phases'!$D$3+273)))</f>
        <v>0.95951064277347886</v>
      </c>
      <c r="AE9" s="2">
        <f>AB9*(12*'Operating Phases'!$G$3/'Operating Phases'!$B$3)*(MIN('Operating Phases'!$H$3,2)/2)^(1/3)*('Operating Phases'!$E$3/20)^1.9*EXP(1414*(1/313-1/('Operating Phases'!$F$3+273)))</f>
        <v>0.38903231138867955</v>
      </c>
      <c r="AF9" s="2">
        <f>AC9*('Operating Phases'!$I$3/0.5)^1.5</f>
        <v>0.02</v>
      </c>
      <c r="AG9" s="7">
        <f>(W9*'Operating Phases'!$Z$3*'Operating Phases'!$AA$3)^(0.511*LN(S9))</f>
        <v>4.6399349289012317</v>
      </c>
      <c r="AH9" s="6">
        <v>0</v>
      </c>
      <c r="AI9" s="2">
        <f>AB9*(12*'Operating Phases'!$G$4/'Operating Phases'!$B$4)*(MIN('Operating Phases'!$H$4,2)/2)^(1/3)*('Operating Phases'!$E$4/20)^1.9*EXP(1414*(1/313-1/('Operating Phases'!$F$4+273)))</f>
        <v>2.2992453391765933E-4</v>
      </c>
      <c r="AJ9" s="2">
        <f>AC9*('Operating Phases'!$I$4/0.5)^1.5</f>
        <v>0</v>
      </c>
      <c r="AK9" s="7">
        <f>(W9*'Operating Phases'!$Z$4*'Operating Phases'!$AA$4)^(0.511*LN(S9))</f>
        <v>2.0738735291086479</v>
      </c>
      <c r="AL9" s="3">
        <f t="shared" si="0"/>
        <v>1.2670187078082644</v>
      </c>
      <c r="AM9" s="30">
        <f>X9*SUM(('Operating Phases'!$B$3/8760)*(AD9+AE9+AF9)*AG9,('Operating Phases'!$B$4/8760)*(AH9+AI9+AJ9)*AK9)</f>
        <v>3.2688683141753209E-2</v>
      </c>
      <c r="AN9" s="61">
        <f>AM9*AL9*'Operating Phases'!$AC$3</f>
        <v>0.16566869229687178</v>
      </c>
    </row>
    <row r="10" spans="1:40" x14ac:dyDescent="0.25">
      <c r="A10" s="40" t="s">
        <v>24</v>
      </c>
      <c r="B10" s="51" t="s">
        <v>16</v>
      </c>
      <c r="C10" s="51" t="s">
        <v>109</v>
      </c>
      <c r="D10" s="40" t="s">
        <v>17</v>
      </c>
      <c r="E10" s="40" t="s">
        <v>18</v>
      </c>
      <c r="F10" s="40"/>
      <c r="G10" s="40"/>
      <c r="H10" s="40"/>
      <c r="I10" s="40"/>
      <c r="J10" s="40"/>
      <c r="K10" s="40"/>
      <c r="L10" s="40"/>
      <c r="M10" s="40"/>
      <c r="N10" s="50">
        <v>35</v>
      </c>
      <c r="O10" s="40"/>
      <c r="P10" s="40">
        <v>16</v>
      </c>
      <c r="Q10" s="40">
        <v>3.3</v>
      </c>
      <c r="R10" s="40">
        <v>3.3</v>
      </c>
      <c r="S10" s="3">
        <v>6.05</v>
      </c>
      <c r="T10" s="6">
        <v>0</v>
      </c>
      <c r="U10" s="2">
        <v>2</v>
      </c>
      <c r="V10" s="7">
        <v>4</v>
      </c>
      <c r="W10" s="30">
        <v>1.3</v>
      </c>
      <c r="X10" s="6">
        <v>0.15</v>
      </c>
      <c r="Y10" s="2">
        <v>0.1</v>
      </c>
      <c r="Z10" s="2">
        <v>0.3</v>
      </c>
      <c r="AA10" s="2">
        <v>0.7</v>
      </c>
      <c r="AB10" s="2">
        <v>0.28000000000000003</v>
      </c>
      <c r="AC10" s="7">
        <v>0.02</v>
      </c>
      <c r="AD10" s="6">
        <f>AA10*(1/Z10*R10/P10)^3*EXP(11604*Y10*(1/293-1/('Operating Phases'!$D$3+273)))</f>
        <v>0.27585547175480402</v>
      </c>
      <c r="AE10" s="2">
        <f>AB10*(12*'Operating Phases'!$G$3/'Operating Phases'!$B$3)*(MIN('Operating Phases'!$H$3,2)/2)^(1/3)*('Operating Phases'!$E$3/20)^1.9*EXP(1414*(1/313-1/('Operating Phases'!$F$3+273)))</f>
        <v>0.38903231138867955</v>
      </c>
      <c r="AF10" s="2">
        <f>AC10*('Operating Phases'!$I$3/0.5)^1.5</f>
        <v>0.02</v>
      </c>
      <c r="AG10" s="7">
        <f>(W10*'Operating Phases'!$Z$3*'Operating Phases'!$AA$3)^(0.511*LN(S10))</f>
        <v>4.6399349289012317</v>
      </c>
      <c r="AH10" s="6">
        <v>0</v>
      </c>
      <c r="AI10" s="2">
        <f>AB10*(12*'Operating Phases'!$G$4/'Operating Phases'!$B$4)*(MIN('Operating Phases'!$H$4,2)/2)^(1/3)*('Operating Phases'!$E$4/20)^1.9*EXP(1414*(1/313-1/('Operating Phases'!$F$4+273)))</f>
        <v>2.2992453391765933E-4</v>
      </c>
      <c r="AJ10" s="2">
        <f>AC10*('Operating Phases'!$I$4/0.5)^1.5</f>
        <v>0</v>
      </c>
      <c r="AK10" s="7">
        <f>(W10*'Operating Phases'!$Z$4*'Operating Phases'!$AA$4)^(0.511*LN(S10))</f>
        <v>2.0738735291086479</v>
      </c>
      <c r="AL10" s="3">
        <f t="shared" si="0"/>
        <v>1.2670187078082644</v>
      </c>
      <c r="AM10" s="30">
        <f>X10*SUM(('Operating Phases'!$B$3/8760)*(AD10+AE10+AF10)*AG10,('Operating Phases'!$B$4/8760)*(AH10+AI10+AJ10)*AK10)</f>
        <v>1.6393569234218138E-2</v>
      </c>
      <c r="AN10" s="61">
        <f>AM10*AL10*'Operating Phases'!$AC$3</f>
        <v>8.3083835630017533E-2</v>
      </c>
    </row>
    <row r="11" spans="1:40" x14ac:dyDescent="0.25">
      <c r="A11" s="40" t="s">
        <v>25</v>
      </c>
      <c r="B11" s="51" t="s">
        <v>33</v>
      </c>
      <c r="C11" s="51" t="s">
        <v>109</v>
      </c>
      <c r="D11" s="40" t="s">
        <v>17</v>
      </c>
      <c r="E11" s="40" t="s">
        <v>18</v>
      </c>
      <c r="F11" s="40"/>
      <c r="G11" s="40"/>
      <c r="H11" s="40"/>
      <c r="I11" s="40"/>
      <c r="J11" s="40"/>
      <c r="K11" s="40"/>
      <c r="L11" s="40"/>
      <c r="M11" s="40"/>
      <c r="N11" s="50">
        <v>35</v>
      </c>
      <c r="O11" s="40"/>
      <c r="P11" s="40">
        <v>16</v>
      </c>
      <c r="Q11" s="40">
        <v>5</v>
      </c>
      <c r="R11" s="40">
        <v>5</v>
      </c>
      <c r="S11" s="3">
        <v>6.05</v>
      </c>
      <c r="T11" s="6">
        <v>0</v>
      </c>
      <c r="U11" s="2">
        <v>2</v>
      </c>
      <c r="V11" s="7">
        <v>4</v>
      </c>
      <c r="W11" s="30">
        <v>1.3</v>
      </c>
      <c r="X11" s="6">
        <v>0.15</v>
      </c>
      <c r="Y11" s="2">
        <v>0.1</v>
      </c>
      <c r="Z11" s="2">
        <v>0.3</v>
      </c>
      <c r="AA11" s="2">
        <v>0.7</v>
      </c>
      <c r="AB11" s="2">
        <v>0.28000000000000003</v>
      </c>
      <c r="AC11" s="7">
        <v>0.02</v>
      </c>
      <c r="AD11" s="6">
        <f>AA11*(1/Z11*R11/P11)^3*EXP(11604*Y11*(1/293-1/('Operating Phases'!$D$3+273)))</f>
        <v>0.95951064277347886</v>
      </c>
      <c r="AE11" s="2">
        <f>AB11*(12*'Operating Phases'!$G$3/'Operating Phases'!$B$3)*(MIN('Operating Phases'!$H$3,2)/2)^(1/3)*('Operating Phases'!$E$3/20)^1.9*EXP(1414*(1/313-1/('Operating Phases'!$F$3+273)))</f>
        <v>0.38903231138867955</v>
      </c>
      <c r="AF11" s="2">
        <f>AC11*('Operating Phases'!$I$3/0.5)^1.5</f>
        <v>0.02</v>
      </c>
      <c r="AG11" s="7">
        <f>(W11*'Operating Phases'!$Z$3*'Operating Phases'!$AA$3)^(0.511*LN(S11))</f>
        <v>4.6399349289012317</v>
      </c>
      <c r="AH11" s="6">
        <v>0</v>
      </c>
      <c r="AI11" s="2">
        <f>AB11*(12*'Operating Phases'!$G$4/'Operating Phases'!$B$4)*(MIN('Operating Phases'!$H$4,2)/2)^(1/3)*('Operating Phases'!$E$4/20)^1.9*EXP(1414*(1/313-1/('Operating Phases'!$F$4+273)))</f>
        <v>2.2992453391765933E-4</v>
      </c>
      <c r="AJ11" s="2">
        <f>AC11*('Operating Phases'!$I$4/0.5)^1.5</f>
        <v>0</v>
      </c>
      <c r="AK11" s="7">
        <f>(W11*'Operating Phases'!$Z$4*'Operating Phases'!$AA$4)^(0.511*LN(S11))</f>
        <v>2.0738735291086479</v>
      </c>
      <c r="AL11" s="3">
        <f t="shared" si="0"/>
        <v>1.2670187078082644</v>
      </c>
      <c r="AM11" s="30">
        <f>X11*SUM(('Operating Phases'!$B$3/8760)*(AD11+AE11+AF11)*AG11,('Operating Phases'!$B$4/8760)*(AH11+AI11+AJ11)*AK11)</f>
        <v>3.2688683141753209E-2</v>
      </c>
      <c r="AN11" s="61">
        <f>AM11*AL11*'Operating Phases'!$AC$3</f>
        <v>0.16566869229687178</v>
      </c>
    </row>
    <row r="12" spans="1:40" x14ac:dyDescent="0.25">
      <c r="A12" s="40" t="s">
        <v>26</v>
      </c>
      <c r="B12" s="51" t="s">
        <v>33</v>
      </c>
      <c r="C12" s="51" t="s">
        <v>111</v>
      </c>
      <c r="D12" s="40" t="s">
        <v>17</v>
      </c>
      <c r="E12" s="40" t="s">
        <v>18</v>
      </c>
      <c r="F12" s="40"/>
      <c r="G12" s="40"/>
      <c r="H12" s="40"/>
      <c r="I12" s="40"/>
      <c r="J12" s="40"/>
      <c r="K12" s="40"/>
      <c r="L12" s="40"/>
      <c r="M12" s="40"/>
      <c r="N12" s="50">
        <v>35</v>
      </c>
      <c r="O12" s="40"/>
      <c r="P12" s="40">
        <v>16</v>
      </c>
      <c r="Q12" s="40">
        <v>5</v>
      </c>
      <c r="R12" s="40">
        <v>5</v>
      </c>
      <c r="S12" s="3">
        <v>6.05</v>
      </c>
      <c r="T12" s="6">
        <v>0</v>
      </c>
      <c r="U12" s="2">
        <v>2</v>
      </c>
      <c r="V12" s="7">
        <v>4</v>
      </c>
      <c r="W12" s="30">
        <v>1.3</v>
      </c>
      <c r="X12" s="6">
        <v>0.15</v>
      </c>
      <c r="Y12" s="2">
        <v>0.1</v>
      </c>
      <c r="Z12" s="2">
        <v>0.3</v>
      </c>
      <c r="AA12" s="2">
        <v>0.7</v>
      </c>
      <c r="AB12" s="2">
        <v>0.28000000000000003</v>
      </c>
      <c r="AC12" s="7">
        <v>0.02</v>
      </c>
      <c r="AD12" s="6">
        <f>AA12*(1/Z12*R12/P12)^3*EXP(11604*Y12*(1/293-1/('Operating Phases'!$D$3+273)))</f>
        <v>0.95951064277347886</v>
      </c>
      <c r="AE12" s="2">
        <f>AB12*(12*'Operating Phases'!$G$3/'Operating Phases'!$B$3)*(MIN('Operating Phases'!$H$3,2)/2)^(1/3)*('Operating Phases'!$E$3/20)^1.9*EXP(1414*(1/313-1/('Operating Phases'!$F$3+273)))</f>
        <v>0.38903231138867955</v>
      </c>
      <c r="AF12" s="2">
        <f>AC12*('Operating Phases'!$I$3/0.5)^1.5</f>
        <v>0.02</v>
      </c>
      <c r="AG12" s="7">
        <f>(W12*'Operating Phases'!$Z$3*'Operating Phases'!$AA$3)^(0.511*LN(S12))</f>
        <v>4.6399349289012317</v>
      </c>
      <c r="AH12" s="6">
        <v>0</v>
      </c>
      <c r="AI12" s="2">
        <f>AB12*(12*'Operating Phases'!$G$4/'Operating Phases'!$B$4)*(MIN('Operating Phases'!$H$4,2)/2)^(1/3)*('Operating Phases'!$E$4/20)^1.9*EXP(1414*(1/313-1/('Operating Phases'!$F$4+273)))</f>
        <v>2.2992453391765933E-4</v>
      </c>
      <c r="AJ12" s="2">
        <f>AC12*('Operating Phases'!$I$4/0.5)^1.5</f>
        <v>0</v>
      </c>
      <c r="AK12" s="7">
        <f>(W12*'Operating Phases'!$Z$4*'Operating Phases'!$AA$4)^(0.511*LN(S12))</f>
        <v>2.0738735291086479</v>
      </c>
      <c r="AL12" s="3">
        <f t="shared" si="0"/>
        <v>1.2670187078082644</v>
      </c>
      <c r="AM12" s="30">
        <f>X12*SUM(('Operating Phases'!$B$3/8760)*(AD12+AE12+AF12)*AG12,('Operating Phases'!$B$4/8760)*(AH12+AI12+AJ12)*AK12)</f>
        <v>3.2688683141753209E-2</v>
      </c>
      <c r="AN12" s="61">
        <f>AM12*AL12*'Operating Phases'!$AC$3</f>
        <v>0.16566869229687178</v>
      </c>
    </row>
    <row r="13" spans="1:40" x14ac:dyDescent="0.25">
      <c r="A13" s="40" t="s">
        <v>27</v>
      </c>
      <c r="B13" s="51" t="s">
        <v>33</v>
      </c>
      <c r="C13" s="51" t="s">
        <v>111</v>
      </c>
      <c r="D13" s="40" t="s">
        <v>17</v>
      </c>
      <c r="E13" s="40" t="s">
        <v>18</v>
      </c>
      <c r="F13" s="40"/>
      <c r="G13" s="40"/>
      <c r="H13" s="40"/>
      <c r="I13" s="40"/>
      <c r="J13" s="40"/>
      <c r="K13" s="40"/>
      <c r="L13" s="40"/>
      <c r="M13" s="40"/>
      <c r="N13" s="50">
        <v>35</v>
      </c>
      <c r="O13" s="40"/>
      <c r="P13" s="40">
        <v>16</v>
      </c>
      <c r="Q13" s="40">
        <v>5</v>
      </c>
      <c r="R13" s="40">
        <v>5</v>
      </c>
      <c r="S13" s="3">
        <v>6.05</v>
      </c>
      <c r="T13" s="6">
        <v>0</v>
      </c>
      <c r="U13" s="2">
        <v>2</v>
      </c>
      <c r="V13" s="7">
        <v>4</v>
      </c>
      <c r="W13" s="30">
        <v>1.3</v>
      </c>
      <c r="X13" s="6">
        <v>0.15</v>
      </c>
      <c r="Y13" s="2">
        <v>0.1</v>
      </c>
      <c r="Z13" s="2">
        <v>0.3</v>
      </c>
      <c r="AA13" s="2">
        <v>0.7</v>
      </c>
      <c r="AB13" s="2">
        <v>0.28000000000000003</v>
      </c>
      <c r="AC13" s="7">
        <v>0.02</v>
      </c>
      <c r="AD13" s="6">
        <f>AA13*(1/Z13*R13/P13)^3*EXP(11604*Y13*(1/293-1/('Operating Phases'!$D$3+273)))</f>
        <v>0.95951064277347886</v>
      </c>
      <c r="AE13" s="2">
        <f>AB13*(12*'Operating Phases'!$G$3/'Operating Phases'!$B$3)*(MIN('Operating Phases'!$H$3,2)/2)^(1/3)*('Operating Phases'!$E$3/20)^1.9*EXP(1414*(1/313-1/('Operating Phases'!$F$3+273)))</f>
        <v>0.38903231138867955</v>
      </c>
      <c r="AF13" s="2">
        <f>AC13*('Operating Phases'!$I$3/0.5)^1.5</f>
        <v>0.02</v>
      </c>
      <c r="AG13" s="7">
        <f>(W13*'Operating Phases'!$Z$3*'Operating Phases'!$AA$3)^(0.511*LN(S13))</f>
        <v>4.6399349289012317</v>
      </c>
      <c r="AH13" s="6">
        <v>0</v>
      </c>
      <c r="AI13" s="2">
        <f>AB13*(12*'Operating Phases'!$G$4/'Operating Phases'!$B$4)*(MIN('Operating Phases'!$H$4,2)/2)^(1/3)*('Operating Phases'!$E$4/20)^1.9*EXP(1414*(1/313-1/('Operating Phases'!$F$4+273)))</f>
        <v>2.2992453391765933E-4</v>
      </c>
      <c r="AJ13" s="2">
        <f>AC13*('Operating Phases'!$I$4/0.5)^1.5</f>
        <v>0</v>
      </c>
      <c r="AK13" s="7">
        <f>(W13*'Operating Phases'!$Z$4*'Operating Phases'!$AA$4)^(0.511*LN(S13))</f>
        <v>2.0738735291086479</v>
      </c>
      <c r="AL13" s="3">
        <f t="shared" si="0"/>
        <v>1.2670187078082644</v>
      </c>
      <c r="AM13" s="30">
        <f>X13*SUM(('Operating Phases'!$B$3/8760)*(AD13+AE13+AF13)*AG13,('Operating Phases'!$B$4/8760)*(AH13+AI13+AJ13)*AK13)</f>
        <v>3.2688683141753209E-2</v>
      </c>
      <c r="AN13" s="61">
        <f>AM13*AL13*'Operating Phases'!$AC$3</f>
        <v>0.16566869229687178</v>
      </c>
    </row>
    <row r="14" spans="1:40" x14ac:dyDescent="0.25">
      <c r="A14" s="40" t="s">
        <v>28</v>
      </c>
      <c r="B14" s="51" t="s">
        <v>108</v>
      </c>
      <c r="C14" s="51" t="s">
        <v>110</v>
      </c>
      <c r="D14" s="40" t="s">
        <v>17</v>
      </c>
      <c r="E14" s="40" t="s">
        <v>18</v>
      </c>
      <c r="F14" s="40"/>
      <c r="G14" s="40"/>
      <c r="H14" s="40"/>
      <c r="I14" s="40"/>
      <c r="J14" s="40"/>
      <c r="K14" s="40"/>
      <c r="L14" s="40"/>
      <c r="M14" s="40"/>
      <c r="N14" s="50">
        <v>35</v>
      </c>
      <c r="O14" s="40"/>
      <c r="P14" s="40">
        <v>16</v>
      </c>
      <c r="Q14" s="40">
        <v>5</v>
      </c>
      <c r="R14" s="40">
        <v>5</v>
      </c>
      <c r="S14" s="3">
        <v>6.05</v>
      </c>
      <c r="T14" s="6">
        <v>0</v>
      </c>
      <c r="U14" s="2">
        <v>2</v>
      </c>
      <c r="V14" s="7">
        <v>4</v>
      </c>
      <c r="W14" s="30">
        <v>1.3</v>
      </c>
      <c r="X14" s="6">
        <v>0.15</v>
      </c>
      <c r="Y14" s="2">
        <v>0.1</v>
      </c>
      <c r="Z14" s="2">
        <v>0.3</v>
      </c>
      <c r="AA14" s="2">
        <v>0.7</v>
      </c>
      <c r="AB14" s="2">
        <v>0.28000000000000003</v>
      </c>
      <c r="AC14" s="7">
        <v>0.02</v>
      </c>
      <c r="AD14" s="6">
        <f>AA14*(1/Z14*R14/P14)^3*EXP(11604*Y14*(1/293-1/('Operating Phases'!$D$3+273)))</f>
        <v>0.95951064277347886</v>
      </c>
      <c r="AE14" s="2">
        <f>AB14*(12*'Operating Phases'!$G$3/'Operating Phases'!$B$3)*(MIN('Operating Phases'!$H$3,2)/2)^(1/3)*('Operating Phases'!$E$3/20)^1.9*EXP(1414*(1/313-1/('Operating Phases'!$F$3+273)))</f>
        <v>0.38903231138867955</v>
      </c>
      <c r="AF14" s="2">
        <f>AC14*('Operating Phases'!$I$3/0.5)^1.5</f>
        <v>0.02</v>
      </c>
      <c r="AG14" s="7">
        <f>(W14*'Operating Phases'!$Z$3*'Operating Phases'!$AA$3)^(0.511*LN(S14))</f>
        <v>4.6399349289012317</v>
      </c>
      <c r="AH14" s="6">
        <v>0</v>
      </c>
      <c r="AI14" s="2">
        <f>AB14*(12*'Operating Phases'!$G$4/'Operating Phases'!$B$4)*(MIN('Operating Phases'!$H$4,2)/2)^(1/3)*('Operating Phases'!$E$4/20)^1.9*EXP(1414*(1/313-1/('Operating Phases'!$F$4+273)))</f>
        <v>2.2992453391765933E-4</v>
      </c>
      <c r="AJ14" s="2">
        <f>AC14*('Operating Phases'!$I$4/0.5)^1.5</f>
        <v>0</v>
      </c>
      <c r="AK14" s="7">
        <f>(W14*'Operating Phases'!$Z$4*'Operating Phases'!$AA$4)^(0.511*LN(S14))</f>
        <v>2.0738735291086479</v>
      </c>
      <c r="AL14" s="3">
        <f t="shared" si="0"/>
        <v>1.2670187078082644</v>
      </c>
      <c r="AM14" s="30">
        <f>X14*SUM(('Operating Phases'!$B$3/8760)*(AD14+AE14+AF14)*AG14,('Operating Phases'!$B$4/8760)*(AH14+AI14+AJ14)*AK14)</f>
        <v>3.2688683141753209E-2</v>
      </c>
      <c r="AN14" s="61">
        <f>AM14*AL14*'Operating Phases'!$AC$3</f>
        <v>0.16566869229687178</v>
      </c>
    </row>
    <row r="15" spans="1:40" x14ac:dyDescent="0.25">
      <c r="A15" s="40" t="s">
        <v>29</v>
      </c>
      <c r="B15" s="51" t="s">
        <v>16</v>
      </c>
      <c r="C15" s="51" t="s">
        <v>109</v>
      </c>
      <c r="D15" s="40" t="s">
        <v>17</v>
      </c>
      <c r="E15" s="40" t="s">
        <v>18</v>
      </c>
      <c r="F15" s="40"/>
      <c r="G15" s="40"/>
      <c r="H15" s="40"/>
      <c r="I15" s="40"/>
      <c r="J15" s="40"/>
      <c r="K15" s="40"/>
      <c r="L15" s="40"/>
      <c r="M15" s="40"/>
      <c r="N15" s="50">
        <v>35</v>
      </c>
      <c r="O15" s="40"/>
      <c r="P15" s="40">
        <v>16</v>
      </c>
      <c r="Q15" s="40">
        <v>5</v>
      </c>
      <c r="R15" s="40">
        <v>5</v>
      </c>
      <c r="S15" s="3">
        <v>6.05</v>
      </c>
      <c r="T15" s="6">
        <v>0</v>
      </c>
      <c r="U15" s="2">
        <v>2</v>
      </c>
      <c r="V15" s="7">
        <v>4</v>
      </c>
      <c r="W15" s="30">
        <v>1.3</v>
      </c>
      <c r="X15" s="6">
        <v>0.15</v>
      </c>
      <c r="Y15" s="2">
        <v>0.1</v>
      </c>
      <c r="Z15" s="2">
        <v>0.3</v>
      </c>
      <c r="AA15" s="2">
        <v>0.7</v>
      </c>
      <c r="AB15" s="2">
        <v>0.28000000000000003</v>
      </c>
      <c r="AC15" s="7">
        <v>0.02</v>
      </c>
      <c r="AD15" s="6">
        <f>AA15*(1/Z15*R15/P15)^3*EXP(11604*Y15*(1/293-1/('Operating Phases'!$D$3+273)))</f>
        <v>0.95951064277347886</v>
      </c>
      <c r="AE15" s="2">
        <f>AB15*(12*'Operating Phases'!$G$3/'Operating Phases'!$B$3)*(MIN('Operating Phases'!$H$3,2)/2)^(1/3)*('Operating Phases'!$E$3/20)^1.9*EXP(1414*(1/313-1/('Operating Phases'!$F$3+273)))</f>
        <v>0.38903231138867955</v>
      </c>
      <c r="AF15" s="2">
        <f>AC15*('Operating Phases'!$I$3/0.5)^1.5</f>
        <v>0.02</v>
      </c>
      <c r="AG15" s="7">
        <f>(W15*'Operating Phases'!$Z$3*'Operating Phases'!$AA$3)^(0.511*LN(S15))</f>
        <v>4.6399349289012317</v>
      </c>
      <c r="AH15" s="6">
        <v>0</v>
      </c>
      <c r="AI15" s="2">
        <f>AB15*(12*'Operating Phases'!$G$4/'Operating Phases'!$B$4)*(MIN('Operating Phases'!$H$4,2)/2)^(1/3)*('Operating Phases'!$E$4/20)^1.9*EXP(1414*(1/313-1/('Operating Phases'!$F$4+273)))</f>
        <v>2.2992453391765933E-4</v>
      </c>
      <c r="AJ15" s="2">
        <f>AC15*('Operating Phases'!$I$4/0.5)^1.5</f>
        <v>0</v>
      </c>
      <c r="AK15" s="7">
        <f>(W15*'Operating Phases'!$Z$4*'Operating Phases'!$AA$4)^(0.511*LN(S15))</f>
        <v>2.0738735291086479</v>
      </c>
      <c r="AL15" s="3">
        <f t="shared" si="0"/>
        <v>1.2670187078082644</v>
      </c>
      <c r="AM15" s="30">
        <f>X15*SUM(('Operating Phases'!$B$3/8760)*(AD15+AE15+AF15)*AG15,('Operating Phases'!$B$4/8760)*(AH15+AI15+AJ15)*AK15)</f>
        <v>3.2688683141753209E-2</v>
      </c>
      <c r="AN15" s="61">
        <f>AM15*AL15*'Operating Phases'!$AC$3</f>
        <v>0.16566869229687178</v>
      </c>
    </row>
    <row r="16" spans="1:40" x14ac:dyDescent="0.25">
      <c r="A16" s="40" t="s">
        <v>30</v>
      </c>
      <c r="B16" s="51" t="s">
        <v>16</v>
      </c>
      <c r="C16" s="51" t="s">
        <v>109</v>
      </c>
      <c r="D16" s="40" t="s">
        <v>17</v>
      </c>
      <c r="E16" s="40" t="s">
        <v>18</v>
      </c>
      <c r="F16" s="40"/>
      <c r="G16" s="40"/>
      <c r="H16" s="40"/>
      <c r="I16" s="40"/>
      <c r="J16" s="40"/>
      <c r="K16" s="40"/>
      <c r="L16" s="40"/>
      <c r="M16" s="40"/>
      <c r="N16" s="50">
        <v>35</v>
      </c>
      <c r="O16" s="40"/>
      <c r="P16" s="40">
        <v>16</v>
      </c>
      <c r="Q16" s="40">
        <v>5</v>
      </c>
      <c r="R16" s="40">
        <v>5</v>
      </c>
      <c r="S16" s="3">
        <v>6.05</v>
      </c>
      <c r="T16" s="6">
        <v>0</v>
      </c>
      <c r="U16" s="2">
        <v>2</v>
      </c>
      <c r="V16" s="7">
        <v>4</v>
      </c>
      <c r="W16" s="30">
        <v>1.3</v>
      </c>
      <c r="X16" s="6">
        <v>0.15</v>
      </c>
      <c r="Y16" s="2">
        <v>0.1</v>
      </c>
      <c r="Z16" s="2">
        <v>0.3</v>
      </c>
      <c r="AA16" s="2">
        <v>0.7</v>
      </c>
      <c r="AB16" s="2">
        <v>0.28000000000000003</v>
      </c>
      <c r="AC16" s="7">
        <v>0.02</v>
      </c>
      <c r="AD16" s="6">
        <f>AA16*(1/Z16*R16/P16)^3*EXP(11604*Y16*(1/293-1/('Operating Phases'!$D$3+273)))</f>
        <v>0.95951064277347886</v>
      </c>
      <c r="AE16" s="2">
        <f>AB16*(12*'Operating Phases'!$G$3/'Operating Phases'!$B$3)*(MIN('Operating Phases'!$H$3,2)/2)^(1/3)*('Operating Phases'!$E$3/20)^1.9*EXP(1414*(1/313-1/('Operating Phases'!$F$3+273)))</f>
        <v>0.38903231138867955</v>
      </c>
      <c r="AF16" s="2">
        <f>AC16*('Operating Phases'!$I$3/0.5)^1.5</f>
        <v>0.02</v>
      </c>
      <c r="AG16" s="7">
        <f>(W16*'Operating Phases'!$Z$3*'Operating Phases'!$AA$3)^(0.511*LN(S16))</f>
        <v>4.6399349289012317</v>
      </c>
      <c r="AH16" s="6">
        <v>0</v>
      </c>
      <c r="AI16" s="2">
        <f>AB16*(12*'Operating Phases'!$G$4/'Operating Phases'!$B$4)*(MIN('Operating Phases'!$H$4,2)/2)^(1/3)*('Operating Phases'!$E$4/20)^1.9*EXP(1414*(1/313-1/('Operating Phases'!$F$4+273)))</f>
        <v>2.2992453391765933E-4</v>
      </c>
      <c r="AJ16" s="2">
        <f>AC16*('Operating Phases'!$I$4/0.5)^1.5</f>
        <v>0</v>
      </c>
      <c r="AK16" s="7">
        <f>(W16*'Operating Phases'!$Z$4*'Operating Phases'!$AA$4)^(0.511*LN(S16))</f>
        <v>2.0738735291086479</v>
      </c>
      <c r="AL16" s="3">
        <f t="shared" si="0"/>
        <v>1.2670187078082644</v>
      </c>
      <c r="AM16" s="30">
        <f>X16*SUM(('Operating Phases'!$B$3/8760)*(AD16+AE16+AF16)*AG16,('Operating Phases'!$B$4/8760)*(AH16+AI16+AJ16)*AK16)</f>
        <v>3.2688683141753209E-2</v>
      </c>
      <c r="AN16" s="61">
        <f>AM16*AL16*'Operating Phases'!$AC$3</f>
        <v>0.16566869229687178</v>
      </c>
    </row>
    <row r="17" spans="1:40" x14ac:dyDescent="0.25">
      <c r="A17" s="40" t="s">
        <v>31</v>
      </c>
      <c r="B17" s="51" t="s">
        <v>16</v>
      </c>
      <c r="C17" s="51" t="s">
        <v>109</v>
      </c>
      <c r="D17" s="40" t="s">
        <v>17</v>
      </c>
      <c r="E17" s="40" t="s">
        <v>18</v>
      </c>
      <c r="F17" s="40"/>
      <c r="G17" s="40"/>
      <c r="H17" s="40"/>
      <c r="I17" s="40"/>
      <c r="J17" s="40"/>
      <c r="K17" s="40"/>
      <c r="L17" s="40"/>
      <c r="M17" s="40"/>
      <c r="N17" s="50">
        <v>35</v>
      </c>
      <c r="O17" s="40"/>
      <c r="P17" s="40">
        <v>16</v>
      </c>
      <c r="Q17" s="40">
        <v>5</v>
      </c>
      <c r="R17" s="40">
        <v>5</v>
      </c>
      <c r="S17" s="3">
        <v>6.05</v>
      </c>
      <c r="T17" s="6">
        <v>0</v>
      </c>
      <c r="U17" s="2">
        <v>2</v>
      </c>
      <c r="V17" s="7">
        <v>4</v>
      </c>
      <c r="W17" s="30">
        <v>1.3</v>
      </c>
      <c r="X17" s="6">
        <v>0.15</v>
      </c>
      <c r="Y17" s="2">
        <v>0.1</v>
      </c>
      <c r="Z17" s="2">
        <v>0.3</v>
      </c>
      <c r="AA17" s="2">
        <v>0.7</v>
      </c>
      <c r="AB17" s="2">
        <v>0.28000000000000003</v>
      </c>
      <c r="AC17" s="7">
        <v>0.02</v>
      </c>
      <c r="AD17" s="6">
        <f>AA17*(1/Z17*R17/P17)^3*EXP(11604*Y17*(1/293-1/('Operating Phases'!$D$3+273)))</f>
        <v>0.95951064277347886</v>
      </c>
      <c r="AE17" s="2">
        <f>AB17*(12*'Operating Phases'!$G$3/'Operating Phases'!$B$3)*(MIN('Operating Phases'!$H$3,2)/2)^(1/3)*('Operating Phases'!$E$3/20)^1.9*EXP(1414*(1/313-1/('Operating Phases'!$F$3+273)))</f>
        <v>0.38903231138867955</v>
      </c>
      <c r="AF17" s="2">
        <f>AC17*('Operating Phases'!$I$3/0.5)^1.5</f>
        <v>0.02</v>
      </c>
      <c r="AG17" s="7">
        <f>(W17*'Operating Phases'!$Z$3*'Operating Phases'!$AA$3)^(0.511*LN(S17))</f>
        <v>4.6399349289012317</v>
      </c>
      <c r="AH17" s="6">
        <v>0</v>
      </c>
      <c r="AI17" s="2">
        <f>AB17*(12*'Operating Phases'!$G$4/'Operating Phases'!$B$4)*(MIN('Operating Phases'!$H$4,2)/2)^(1/3)*('Operating Phases'!$E$4/20)^1.9*EXP(1414*(1/313-1/('Operating Phases'!$F$4+273)))</f>
        <v>2.2992453391765933E-4</v>
      </c>
      <c r="AJ17" s="2">
        <f>AC17*('Operating Phases'!$I$4/0.5)^1.5</f>
        <v>0</v>
      </c>
      <c r="AK17" s="7">
        <f>(W17*'Operating Phases'!$Z$4*'Operating Phases'!$AA$4)^(0.511*LN(S17))</f>
        <v>2.0738735291086479</v>
      </c>
      <c r="AL17" s="3">
        <f t="shared" si="0"/>
        <v>1.2670187078082644</v>
      </c>
      <c r="AM17" s="30">
        <f>X17*SUM(('Operating Phases'!$B$3/8760)*(AD17+AE17+AF17)*AG17,('Operating Phases'!$B$4/8760)*(AH17+AI17+AJ17)*AK17)</f>
        <v>3.2688683141753209E-2</v>
      </c>
      <c r="AN17" s="61">
        <f>AM17*AL17*'Operating Phases'!$AC$3</f>
        <v>0.16566869229687178</v>
      </c>
    </row>
    <row r="18" spans="1:40" ht="15.75" thickBot="1" x14ac:dyDescent="0.3">
      <c r="A18" s="40" t="s">
        <v>32</v>
      </c>
      <c r="B18" s="51" t="s">
        <v>107</v>
      </c>
      <c r="C18" s="51" t="s">
        <v>111</v>
      </c>
      <c r="D18" s="40" t="s">
        <v>17</v>
      </c>
      <c r="E18" s="40" t="s">
        <v>18</v>
      </c>
      <c r="F18" s="40"/>
      <c r="G18" s="40"/>
      <c r="H18" s="40"/>
      <c r="I18" s="40"/>
      <c r="J18" s="40"/>
      <c r="K18" s="40"/>
      <c r="L18" s="40"/>
      <c r="M18" s="40"/>
      <c r="N18" s="50">
        <v>35</v>
      </c>
      <c r="O18" s="40"/>
      <c r="P18" s="40">
        <v>16</v>
      </c>
      <c r="Q18" s="40">
        <v>3</v>
      </c>
      <c r="R18" s="40">
        <v>3</v>
      </c>
      <c r="S18" s="3">
        <v>6.05</v>
      </c>
      <c r="T18" s="8">
        <v>0</v>
      </c>
      <c r="U18" s="9">
        <v>2</v>
      </c>
      <c r="V18" s="10">
        <v>4</v>
      </c>
      <c r="W18" s="30">
        <v>1.3</v>
      </c>
      <c r="X18" s="8">
        <v>0.15</v>
      </c>
      <c r="Y18" s="9">
        <v>0.1</v>
      </c>
      <c r="Z18" s="9">
        <v>0.3</v>
      </c>
      <c r="AA18" s="9">
        <v>0.7</v>
      </c>
      <c r="AB18" s="9">
        <v>0.28000000000000003</v>
      </c>
      <c r="AC18" s="10">
        <v>0.02</v>
      </c>
      <c r="AD18" s="8">
        <f>AA18*(1/Z18*R18/P18)^3*EXP(11604*Y18*(1/293-1/('Operating Phases'!$D$3+273)))</f>
        <v>0.2072542988390714</v>
      </c>
      <c r="AE18" s="9">
        <f>AB18*(12*'Operating Phases'!$G$3/'Operating Phases'!$B$3)*(MIN('Operating Phases'!$H$3,2)/2)^(1/3)*('Operating Phases'!$E$3/20)^1.9*EXP(1414*(1/313-1/('Operating Phases'!$F$3+273)))</f>
        <v>0.38903231138867955</v>
      </c>
      <c r="AF18" s="9">
        <f>AC18*('Operating Phases'!$I$3/0.5)^1.5</f>
        <v>0.02</v>
      </c>
      <c r="AG18" s="10">
        <f>(W18*'Operating Phases'!$Z$3*'Operating Phases'!$AA$3)^(0.511*LN(S18))</f>
        <v>4.6399349289012317</v>
      </c>
      <c r="AH18" s="8">
        <v>0</v>
      </c>
      <c r="AI18" s="9">
        <f>AB18*(12*'Operating Phases'!$G$4/'Operating Phases'!$B$4)*(MIN('Operating Phases'!$H$4,2)/2)^(1/3)*('Operating Phases'!$E$4/20)^1.9*EXP(1414*(1/313-1/('Operating Phases'!$F$4+273)))</f>
        <v>2.2992453391765933E-4</v>
      </c>
      <c r="AJ18" s="9">
        <f>AC18*('Operating Phases'!$I$4/0.5)^1.5</f>
        <v>0</v>
      </c>
      <c r="AK18" s="10">
        <f>(W18*'Operating Phases'!$Z$4*'Operating Phases'!$AA$4)^(0.511*LN(S18))</f>
        <v>2.0738735291086479</v>
      </c>
      <c r="AL18" s="3">
        <f t="shared" si="0"/>
        <v>1.2670187078082644</v>
      </c>
      <c r="AM18" s="30">
        <f>X18*SUM(('Operating Phases'!$B$3/8760)*(AD18+AE18+AF18)*AG18,('Operating Phases'!$B$4/8760)*(AH18+AI18+AJ18)*AK18)</f>
        <v>1.4758440920646385E-2</v>
      </c>
      <c r="AN18" s="61">
        <f>AM18*AL18*'Operating Phases'!$AC$3</f>
        <v>7.4796882978167986E-2</v>
      </c>
    </row>
    <row r="19" spans="1:40" ht="15.75" thickBot="1" x14ac:dyDescent="0.3">
      <c r="B19" s="36"/>
      <c r="AM19" s="26" t="s">
        <v>106</v>
      </c>
      <c r="AN19" s="62">
        <f>SUM(AN4:AN18)</f>
        <v>2.3115737184675189</v>
      </c>
    </row>
    <row r="20" spans="1:40" ht="15.75" thickTop="1" x14ac:dyDescent="0.25"/>
  </sheetData>
  <mergeCells count="4">
    <mergeCell ref="T2:V2"/>
    <mergeCell ref="X2:AC2"/>
    <mergeCell ref="AD2:AG2"/>
    <mergeCell ref="AH2:AK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opLeftCell="C7" workbookViewId="0">
      <selection activeCell="J17" sqref="J17"/>
    </sheetView>
  </sheetViews>
  <sheetFormatPr defaultRowHeight="15" outlineLevelCol="1" x14ac:dyDescent="0.25"/>
  <cols>
    <col min="2" max="3" width="9.140625" customWidth="1" outlineLevel="1"/>
    <col min="4" max="4" width="29.85546875" customWidth="1" outlineLevel="1"/>
    <col min="5" max="5" width="11" customWidth="1" outlineLevel="1"/>
    <col min="6" max="6" width="11.42578125" customWidth="1" outlineLevel="1"/>
    <col min="7" max="7" width="9.140625" customWidth="1" outlineLevel="1"/>
    <col min="8" max="8" width="11.85546875" customWidth="1" outlineLevel="1"/>
    <col min="9" max="10" width="9.140625" customWidth="1" outlineLevel="1"/>
    <col min="11" max="11" width="24.42578125" customWidth="1" outlineLevel="1"/>
    <col min="12" max="12" width="11" customWidth="1" outlineLevel="1"/>
    <col min="13" max="13" width="11.140625" customWidth="1" outlineLevel="1"/>
    <col min="14" max="14" width="11.85546875" customWidth="1" outlineLevel="1"/>
    <col min="15" max="15" width="10.28515625" customWidth="1" outlineLevel="1"/>
    <col min="16" max="16" width="10.140625" customWidth="1"/>
    <col min="17" max="17" width="13.5703125" customWidth="1" outlineLevel="1"/>
    <col min="18" max="22" width="9.140625" customWidth="1" outlineLevel="1"/>
    <col min="23" max="23" width="18.5703125" customWidth="1" outlineLevel="1"/>
    <col min="24" max="24" width="12" customWidth="1" outlineLevel="1"/>
    <col min="25" max="25" width="13.5703125" customWidth="1" outlineLevel="1"/>
    <col min="26" max="26" width="12" customWidth="1" outlineLevel="1"/>
    <col min="27" max="27" width="13.5703125" customWidth="1" outlineLevel="1"/>
    <col min="28" max="28" width="18.140625" customWidth="1" outlineLevel="1"/>
    <col min="29" max="29" width="12" customWidth="1" outlineLevel="1"/>
    <col min="30" max="30" width="13.5703125" customWidth="1" outlineLevel="1"/>
    <col min="31" max="31" width="9.28515625" customWidth="1" outlineLevel="1"/>
    <col min="32" max="32" width="14.5703125" customWidth="1" outlineLevel="1"/>
    <col min="33" max="33" width="9.7109375" customWidth="1"/>
    <col min="34" max="34" width="11.140625" customWidth="1"/>
  </cols>
  <sheetData>
    <row r="1" spans="1:35" ht="29.25" customHeight="1" thickBot="1" x14ac:dyDescent="0.3"/>
    <row r="2" spans="1:35" x14ac:dyDescent="0.25">
      <c r="M2" s="203" t="s">
        <v>97</v>
      </c>
      <c r="N2" s="204"/>
      <c r="O2" s="205"/>
      <c r="P2" s="11"/>
      <c r="Q2" s="206" t="s">
        <v>72</v>
      </c>
      <c r="R2" s="207"/>
      <c r="S2" s="207"/>
      <c r="T2" s="207"/>
      <c r="U2" s="207"/>
      <c r="V2" s="208"/>
      <c r="W2" s="206" t="s">
        <v>76</v>
      </c>
      <c r="X2" s="207"/>
      <c r="Y2" s="207"/>
      <c r="Z2" s="207"/>
      <c r="AA2" s="208"/>
      <c r="AB2" s="206" t="s">
        <v>77</v>
      </c>
      <c r="AC2" s="207"/>
      <c r="AD2" s="207"/>
      <c r="AE2" s="207"/>
      <c r="AF2" s="208"/>
      <c r="AG2" s="11"/>
    </row>
    <row r="3" spans="1:35" s="1" customFormat="1" ht="18.75" thickBot="1" x14ac:dyDescent="0.4">
      <c r="A3" s="52" t="s">
        <v>0</v>
      </c>
      <c r="B3" s="52" t="s">
        <v>1</v>
      </c>
      <c r="C3" s="52" t="s">
        <v>3</v>
      </c>
      <c r="D3" s="52" t="s">
        <v>4</v>
      </c>
      <c r="E3" s="52" t="s">
        <v>59</v>
      </c>
      <c r="F3" s="52" t="s">
        <v>231</v>
      </c>
      <c r="G3" s="52" t="s">
        <v>232</v>
      </c>
      <c r="H3" s="52" t="s">
        <v>233</v>
      </c>
      <c r="I3" s="52" t="s">
        <v>234</v>
      </c>
      <c r="J3" s="52" t="s">
        <v>58</v>
      </c>
      <c r="K3" s="52" t="s">
        <v>70</v>
      </c>
      <c r="L3" s="75" t="s">
        <v>219</v>
      </c>
      <c r="M3" s="66" t="s">
        <v>220</v>
      </c>
      <c r="N3" s="65" t="s">
        <v>221</v>
      </c>
      <c r="O3" s="87" t="s">
        <v>96</v>
      </c>
      <c r="P3" s="90" t="s">
        <v>222</v>
      </c>
      <c r="Q3" s="66" t="s">
        <v>235</v>
      </c>
      <c r="R3" s="65" t="s">
        <v>78</v>
      </c>
      <c r="S3" s="65" t="s">
        <v>236</v>
      </c>
      <c r="T3" s="65" t="s">
        <v>227</v>
      </c>
      <c r="U3" s="65" t="s">
        <v>228</v>
      </c>
      <c r="V3" s="72" t="s">
        <v>237</v>
      </c>
      <c r="W3" s="66" t="s">
        <v>229</v>
      </c>
      <c r="X3" s="65" t="s">
        <v>191</v>
      </c>
      <c r="Y3" s="65" t="s">
        <v>192</v>
      </c>
      <c r="Z3" s="65" t="s">
        <v>193</v>
      </c>
      <c r="AA3" s="82" t="s">
        <v>194</v>
      </c>
      <c r="AB3" s="66" t="s">
        <v>229</v>
      </c>
      <c r="AC3" s="65" t="s">
        <v>191</v>
      </c>
      <c r="AD3" s="65" t="s">
        <v>192</v>
      </c>
      <c r="AE3" s="65" t="s">
        <v>193</v>
      </c>
      <c r="AF3" s="82" t="s">
        <v>194</v>
      </c>
      <c r="AG3" s="65" t="s">
        <v>223</v>
      </c>
      <c r="AH3" s="65" t="s">
        <v>230</v>
      </c>
      <c r="AI3" s="81" t="s">
        <v>102</v>
      </c>
    </row>
    <row r="4" spans="1:35" x14ac:dyDescent="0.25">
      <c r="A4" s="50" t="s">
        <v>41</v>
      </c>
      <c r="B4" s="50" t="s">
        <v>46</v>
      </c>
      <c r="C4" s="40" t="s">
        <v>110</v>
      </c>
      <c r="D4" s="50" t="s">
        <v>42</v>
      </c>
      <c r="E4" s="50">
        <v>0</v>
      </c>
      <c r="F4" s="50">
        <v>0.2</v>
      </c>
      <c r="G4" s="50">
        <f>F4*F4*E4/1000000</f>
        <v>0</v>
      </c>
      <c r="H4" s="50">
        <v>0.25</v>
      </c>
      <c r="I4" s="50" t="s">
        <v>43</v>
      </c>
      <c r="J4" s="50">
        <v>35</v>
      </c>
      <c r="K4" s="27" t="s">
        <v>71</v>
      </c>
      <c r="L4" s="28">
        <v>4.75</v>
      </c>
      <c r="M4" s="31">
        <v>0</v>
      </c>
      <c r="N4" s="27">
        <v>2</v>
      </c>
      <c r="O4" s="32">
        <v>4</v>
      </c>
      <c r="P4" s="29">
        <v>1.3</v>
      </c>
      <c r="Q4" s="31">
        <v>0.01</v>
      </c>
      <c r="R4" s="27">
        <v>70</v>
      </c>
      <c r="S4" s="27">
        <v>0.01</v>
      </c>
      <c r="T4" s="27">
        <v>0.97</v>
      </c>
      <c r="U4" s="27">
        <v>0.01</v>
      </c>
      <c r="V4" s="32">
        <v>0.01</v>
      </c>
      <c r="W4" s="31">
        <f>S4*EXP(11604*0.15*(1/293-1/('Operating Phases'!$D$3+273+R4*(G4/H4))))</f>
        <v>1.3355131942768661E-2</v>
      </c>
      <c r="X4" s="27">
        <f>T4*((12*'Operating Phases'!$G$3)/'Operating Phases'!$B$3)*(MIN('Operating Phases'!$H$3,2)/2)^(1/3)*('Operating Phases'!$E$3/20)^1.9*EXP(1414*(1/313-1/('Operating Phases'!$F$3+273)))</f>
        <v>1.347719078739354</v>
      </c>
      <c r="Y4" s="27">
        <f>U4*('Operating Phases'!$I$3/0.5)^1.5</f>
        <v>0.01</v>
      </c>
      <c r="Z4" s="27">
        <v>0</v>
      </c>
      <c r="AA4" s="32">
        <f>(P4*'Operating Phases'!$Z$3*'Operating Phases'!$AA$3)^(0.511*LN(Resistors!L4))</f>
        <v>3.7751824170749537</v>
      </c>
      <c r="AB4" s="31">
        <v>0</v>
      </c>
      <c r="AC4" s="27">
        <f>X4*((12*'Operating Phases'!$G$4)/'Operating Phases'!$B$4)*(MIN('Operating Phases'!$H$4,2)/2)^(1/3)*('Operating Phases'!$E$4/20)^1.9*EXP(1414*(1/313-1/('Operating Phases'!$F$4+273)))</f>
        <v>1.1066917179681543E-3</v>
      </c>
      <c r="AD4" s="27">
        <f>Y4*('Operating Phases'!$I$4/0.5)^1.5</f>
        <v>0</v>
      </c>
      <c r="AE4" s="27">
        <f>V4*('Operating Phases'!$C$4/70)^4.4*EXP(11604*0.9*(1/293-1/('Operating Phases'!$D$4+273)))</f>
        <v>2.8795407159260447E-2</v>
      </c>
      <c r="AF4" s="32">
        <f>(P4*'Operating Phases'!$Z$4*'Operating Phases'!$AA$4)^(0.511*LN(Resistors!T4))</f>
        <v>0.98773320320639857</v>
      </c>
      <c r="AG4" s="27">
        <f>EXP(1.39*(1-((M4+N4)*O4/24))-0.69)</f>
        <v>1.2670187078082644</v>
      </c>
      <c r="AH4" s="27">
        <f>Q4*((('Operating Phases'!$B$3/8760)*(W4+X4+Y4+Z4)*AA4)+(('Operating Phases'!$B$4/8760)*(AB4+AC4+AD4+AE4)*AF4))</f>
        <v>2.0578597935747176E-3</v>
      </c>
      <c r="AI4" s="57">
        <f>AH4*AG4*'Operating Phases'!$AC$3</f>
        <v>1.0429387426022481E-2</v>
      </c>
    </row>
    <row r="5" spans="1:35" x14ac:dyDescent="0.25">
      <c r="A5" s="40" t="s">
        <v>44</v>
      </c>
      <c r="B5" s="40" t="s">
        <v>46</v>
      </c>
      <c r="C5" s="40" t="s">
        <v>110</v>
      </c>
      <c r="D5" s="40" t="s">
        <v>42</v>
      </c>
      <c r="E5" s="40">
        <v>0</v>
      </c>
      <c r="F5" s="40">
        <v>0.2</v>
      </c>
      <c r="G5" s="50">
        <f t="shared" ref="G5:G12" si="0">F5*F5*E5/1000000</f>
        <v>0</v>
      </c>
      <c r="H5" s="40">
        <v>0.25</v>
      </c>
      <c r="I5" s="40" t="s">
        <v>43</v>
      </c>
      <c r="J5" s="50">
        <v>35</v>
      </c>
      <c r="K5" s="2" t="s">
        <v>71</v>
      </c>
      <c r="L5" s="3">
        <v>4.75</v>
      </c>
      <c r="M5" s="6">
        <v>0</v>
      </c>
      <c r="N5" s="2">
        <v>2</v>
      </c>
      <c r="O5" s="7">
        <v>4</v>
      </c>
      <c r="P5" s="30">
        <v>1.3</v>
      </c>
      <c r="Q5" s="6">
        <v>0.01</v>
      </c>
      <c r="R5" s="2">
        <v>70</v>
      </c>
      <c r="S5" s="2">
        <v>0.01</v>
      </c>
      <c r="T5" s="2">
        <v>0.97</v>
      </c>
      <c r="U5" s="2">
        <v>0.01</v>
      </c>
      <c r="V5" s="7">
        <v>0.01</v>
      </c>
      <c r="W5" s="31">
        <f>S5*EXP(11604*0.15*(1/293-1/('Operating Phases'!$D$3+273+R5*(G5/H5))))</f>
        <v>1.3355131942768661E-2</v>
      </c>
      <c r="X5" s="2">
        <f>T5*((12*'Operating Phases'!$G$3)/'Operating Phases'!$B$3)*(MIN('Operating Phases'!$H$3,2)/2)^(1/3)*('Operating Phases'!$E$3/20)^1.9*EXP(1414*(1/313-1/('Operating Phases'!$F$3+273)))</f>
        <v>1.347719078739354</v>
      </c>
      <c r="Y5" s="2">
        <f>U5*('Operating Phases'!$I$3/0.5)^1.5</f>
        <v>0.01</v>
      </c>
      <c r="Z5" s="2">
        <v>0</v>
      </c>
      <c r="AA5" s="32">
        <f>(P5*'Operating Phases'!$Z$3*'Operating Phases'!$AA$3)^(0.511*LN(Resistors!L5))</f>
        <v>3.7751824170749537</v>
      </c>
      <c r="AB5" s="6">
        <v>0</v>
      </c>
      <c r="AC5" s="2">
        <f>X5*((12*'Operating Phases'!$G$4)/'Operating Phases'!$B$4)*(MIN('Operating Phases'!$H$4,2)/2)^(1/3)*('Operating Phases'!$E$4/20)^1.9*EXP(1414*(1/313-1/('Operating Phases'!$F$4+273)))</f>
        <v>1.1066917179681543E-3</v>
      </c>
      <c r="AD5" s="2">
        <f>Y5*('Operating Phases'!$I$4/0.5)^1.5</f>
        <v>0</v>
      </c>
      <c r="AE5" s="27">
        <f>V5*('Operating Phases'!$C$4/70)^4.4*EXP(11604*0.9*(1/293-1/('Operating Phases'!$D$4+273)))</f>
        <v>2.8795407159260447E-2</v>
      </c>
      <c r="AF5" s="7">
        <f>(P5*'Operating Phases'!$Z$4*'Operating Phases'!$AA$4)^(0.511*LN(Resistors!T5))</f>
        <v>0.98773320320639857</v>
      </c>
      <c r="AG5" s="2">
        <f t="shared" ref="AG5:AG12" si="1">EXP(1.39*(1-((M5+N5)*O5/24))-0.69)</f>
        <v>1.2670187078082644</v>
      </c>
      <c r="AH5" s="27">
        <f>Q5*((('Operating Phases'!$B$3/8760)*(W5+X5+Y5+Z5)*AA5)+(('Operating Phases'!$B$4/8760)*(AB5+AC5+AD5+AE5)*AF5))</f>
        <v>2.0578597935747176E-3</v>
      </c>
      <c r="AI5" s="58">
        <f>AH5*AG5*'Operating Phases'!$AC$3</f>
        <v>1.0429387426022481E-2</v>
      </c>
    </row>
    <row r="6" spans="1:35" x14ac:dyDescent="0.25">
      <c r="A6" s="40" t="s">
        <v>45</v>
      </c>
      <c r="B6" s="40" t="s">
        <v>179</v>
      </c>
      <c r="C6" s="40" t="s">
        <v>109</v>
      </c>
      <c r="D6" s="40" t="s">
        <v>42</v>
      </c>
      <c r="E6" s="40">
        <v>360</v>
      </c>
      <c r="F6" s="40">
        <v>10.5</v>
      </c>
      <c r="G6" s="50">
        <f t="shared" si="0"/>
        <v>3.9690000000000003E-2</v>
      </c>
      <c r="H6" s="40">
        <v>0.25</v>
      </c>
      <c r="I6" s="40" t="s">
        <v>43</v>
      </c>
      <c r="J6" s="50">
        <v>35</v>
      </c>
      <c r="K6" s="2" t="s">
        <v>71</v>
      </c>
      <c r="L6" s="3">
        <v>4.75</v>
      </c>
      <c r="M6" s="6">
        <v>0</v>
      </c>
      <c r="N6" s="2">
        <v>2</v>
      </c>
      <c r="O6" s="7">
        <v>4</v>
      </c>
      <c r="P6" s="30">
        <v>1</v>
      </c>
      <c r="Q6" s="6">
        <v>0.01</v>
      </c>
      <c r="R6" s="2">
        <v>70</v>
      </c>
      <c r="S6" s="2">
        <v>0.01</v>
      </c>
      <c r="T6" s="2">
        <v>0.97</v>
      </c>
      <c r="U6" s="2">
        <v>0.01</v>
      </c>
      <c r="V6" s="7">
        <v>0.01</v>
      </c>
      <c r="W6" s="31">
        <f>S6*EXP(11604*0.15*(1/293-1/('Operating Phases'!$D$3+273+R6*(G6/H6))))</f>
        <v>1.6260009200457216E-2</v>
      </c>
      <c r="X6" s="2">
        <f>T6*((12*'Operating Phases'!$G$3)/'Operating Phases'!$B$3)*(MIN('Operating Phases'!$H$3,2)/2)^(1/3)*('Operating Phases'!$E$3/20)^1.9*EXP(1414*(1/313-1/('Operating Phases'!$F$3+273)))</f>
        <v>1.347719078739354</v>
      </c>
      <c r="Y6" s="2">
        <f>U6*('Operating Phases'!$I$3/0.5)^1.5</f>
        <v>0.01</v>
      </c>
      <c r="Z6" s="2">
        <v>0</v>
      </c>
      <c r="AA6" s="32">
        <f>(P6*'Operating Phases'!$Z$3*'Operating Phases'!$AA$3)^(0.511*LN(Resistors!L6))</f>
        <v>3.0634788658958922</v>
      </c>
      <c r="AB6" s="6">
        <v>0</v>
      </c>
      <c r="AC6" s="2">
        <f>X6*((12*'Operating Phases'!$G$4)/'Operating Phases'!$B$4)*(MIN('Operating Phases'!$H$4,2)/2)^(1/3)*('Operating Phases'!$E$4/20)^1.9*EXP(1414*(1/313-1/('Operating Phases'!$F$4+273)))</f>
        <v>1.1066917179681543E-3</v>
      </c>
      <c r="AD6" s="2">
        <f>Y6*('Operating Phases'!$I$4/0.5)^1.5</f>
        <v>0</v>
      </c>
      <c r="AE6" s="27">
        <f>V6*('Operating Phases'!$C$4/70)^4.4*EXP(11604*0.9*(1/293-1/('Operating Phases'!$D$4+273)))</f>
        <v>2.8795407159260447E-2</v>
      </c>
      <c r="AF6" s="7">
        <f>(P6*'Operating Phases'!$Z$4*'Operating Phases'!$AA$4)^(0.511*LN(Resistors!T6))</f>
        <v>0.99177496654302699</v>
      </c>
      <c r="AG6" s="2">
        <f t="shared" si="1"/>
        <v>1.2670187078082644</v>
      </c>
      <c r="AH6" s="27">
        <f>Q6*((('Operating Phases'!$B$3/8760)*(W6+X6+Y6+Z6)*AA6)+(('Operating Phases'!$B$4/8760)*(AB6+AC6+AD6+AE6)*AF6))</f>
        <v>1.7278970602356376E-3</v>
      </c>
      <c r="AI6" s="58">
        <f>AH6*AG6*'Operating Phases'!$AC$3</f>
        <v>8.757111601941826E-3</v>
      </c>
    </row>
    <row r="7" spans="1:35" x14ac:dyDescent="0.25">
      <c r="A7" s="40" t="s">
        <v>47</v>
      </c>
      <c r="B7" s="40" t="s">
        <v>180</v>
      </c>
      <c r="C7" s="40" t="s">
        <v>109</v>
      </c>
      <c r="D7" s="40" t="s">
        <v>42</v>
      </c>
      <c r="E7" s="40">
        <v>300</v>
      </c>
      <c r="F7" s="40">
        <v>10</v>
      </c>
      <c r="G7" s="50">
        <f t="shared" si="0"/>
        <v>0.03</v>
      </c>
      <c r="H7" s="40">
        <v>0.25</v>
      </c>
      <c r="I7" s="40" t="s">
        <v>43</v>
      </c>
      <c r="J7" s="50">
        <v>35</v>
      </c>
      <c r="K7" s="2" t="s">
        <v>71</v>
      </c>
      <c r="L7" s="3">
        <v>4.75</v>
      </c>
      <c r="M7" s="6">
        <v>0</v>
      </c>
      <c r="N7" s="2">
        <v>2</v>
      </c>
      <c r="O7" s="7">
        <v>4</v>
      </c>
      <c r="P7" s="33">
        <v>1</v>
      </c>
      <c r="Q7" s="6">
        <v>0.01</v>
      </c>
      <c r="R7" s="2">
        <v>70</v>
      </c>
      <c r="S7" s="2">
        <v>0.01</v>
      </c>
      <c r="T7" s="2">
        <v>0.97</v>
      </c>
      <c r="U7" s="2">
        <v>0.01</v>
      </c>
      <c r="V7" s="7">
        <v>0.01</v>
      </c>
      <c r="W7" s="31">
        <f>S7*EXP(11604*0.15*(1/293-1/('Operating Phases'!$D$3+273+R7*(G7/H7))))</f>
        <v>1.5516984604979443E-2</v>
      </c>
      <c r="X7" s="2">
        <f>T7*((12*'Operating Phases'!$G$3)/'Operating Phases'!$B$3)*(MIN('Operating Phases'!$H$3,2)/2)^(1/3)*('Operating Phases'!$E$3/20)^1.9*EXP(1414*(1/313-1/('Operating Phases'!$F$3+273)))</f>
        <v>1.347719078739354</v>
      </c>
      <c r="Y7" s="2">
        <f>U7*('Operating Phases'!$I$3/0.5)^1.5</f>
        <v>0.01</v>
      </c>
      <c r="Z7" s="2">
        <v>0</v>
      </c>
      <c r="AA7" s="32">
        <f>(P7*'Operating Phases'!$Z$3*'Operating Phases'!$AA$3)^(0.511*LN(Resistors!L7))</f>
        <v>3.0634788658958922</v>
      </c>
      <c r="AB7" s="6">
        <v>0</v>
      </c>
      <c r="AC7" s="2">
        <f>X7*((12*'Operating Phases'!$G$4)/'Operating Phases'!$B$4)*(MIN('Operating Phases'!$H$4,2)/2)^(1/3)*('Operating Phases'!$E$4/20)^1.9*EXP(1414*(1/313-1/('Operating Phases'!$F$4+273)))</f>
        <v>1.1066917179681543E-3</v>
      </c>
      <c r="AD7" s="2">
        <f>Y7*('Operating Phases'!$I$4/0.5)^1.5</f>
        <v>0</v>
      </c>
      <c r="AE7" s="27">
        <f>V7*('Operating Phases'!$C$4/70)^4.4*EXP(11604*0.9*(1/293-1/('Operating Phases'!$D$4+273)))</f>
        <v>2.8795407159260447E-2</v>
      </c>
      <c r="AF7" s="7">
        <f>(P7*'Operating Phases'!$Z$4*'Operating Phases'!$AA$4)^(0.511*LN(Resistors!T7))</f>
        <v>0.99177496654302699</v>
      </c>
      <c r="AG7" s="2">
        <f t="shared" si="1"/>
        <v>1.2670187078082644</v>
      </c>
      <c r="AH7" s="27">
        <f>Q7*((('Operating Phases'!$B$3/8760)*(W7+X7+Y7+Z7)*AA7)+(('Operating Phases'!$B$4/8760)*(AB7+AC7+AD7+AE7)*AF7))</f>
        <v>1.7271175259393752E-3</v>
      </c>
      <c r="AI7" s="58">
        <f>AH7*AG7*'Operating Phases'!$AC$3</f>
        <v>8.7531608637948545E-3</v>
      </c>
    </row>
    <row r="8" spans="1:35" x14ac:dyDescent="0.25">
      <c r="A8" s="40" t="s">
        <v>48</v>
      </c>
      <c r="B8" s="40" t="s">
        <v>180</v>
      </c>
      <c r="C8" s="40" t="s">
        <v>109</v>
      </c>
      <c r="D8" s="40" t="s">
        <v>42</v>
      </c>
      <c r="E8" s="40">
        <v>300</v>
      </c>
      <c r="F8" s="40">
        <v>10</v>
      </c>
      <c r="G8" s="50">
        <f t="shared" si="0"/>
        <v>0.03</v>
      </c>
      <c r="H8" s="40">
        <v>0.25</v>
      </c>
      <c r="I8" s="40" t="s">
        <v>43</v>
      </c>
      <c r="J8" s="50">
        <v>35</v>
      </c>
      <c r="K8" s="2" t="s">
        <v>71</v>
      </c>
      <c r="L8" s="3">
        <v>4.75</v>
      </c>
      <c r="M8" s="6">
        <v>0</v>
      </c>
      <c r="N8" s="2">
        <v>2</v>
      </c>
      <c r="O8" s="7">
        <v>4</v>
      </c>
      <c r="P8" s="33">
        <v>1</v>
      </c>
      <c r="Q8" s="6">
        <v>0.01</v>
      </c>
      <c r="R8" s="2">
        <v>70</v>
      </c>
      <c r="S8" s="2">
        <v>0.01</v>
      </c>
      <c r="T8" s="2">
        <v>0.97</v>
      </c>
      <c r="U8" s="2">
        <v>0.01</v>
      </c>
      <c r="V8" s="7">
        <v>0.01</v>
      </c>
      <c r="W8" s="31">
        <f>S8*EXP(11604*0.15*(1/293-1/('Operating Phases'!$D$3+273+R8*(G8/H8))))</f>
        <v>1.5516984604979443E-2</v>
      </c>
      <c r="X8" s="2">
        <f>T8*((12*'Operating Phases'!$G$3)/'Operating Phases'!$B$3)*(MIN('Operating Phases'!$H$3,2)/2)^(1/3)*('Operating Phases'!$E$3/20)^1.9*EXP(1414*(1/313-1/('Operating Phases'!$F$3+273)))</f>
        <v>1.347719078739354</v>
      </c>
      <c r="Y8" s="2">
        <f>U8*('Operating Phases'!$I$3/0.5)^1.5</f>
        <v>0.01</v>
      </c>
      <c r="Z8" s="2">
        <v>0</v>
      </c>
      <c r="AA8" s="32">
        <f>(P8*'Operating Phases'!$Z$3*'Operating Phases'!$AA$3)^(0.511*LN(Resistors!L8))</f>
        <v>3.0634788658958922</v>
      </c>
      <c r="AB8" s="6">
        <v>0</v>
      </c>
      <c r="AC8" s="2">
        <f>X8*((12*'Operating Phases'!$G$4)/'Operating Phases'!$B$4)*(MIN('Operating Phases'!$H$4,2)/2)^(1/3)*('Operating Phases'!$E$4/20)^1.9*EXP(1414*(1/313-1/('Operating Phases'!$F$4+273)))</f>
        <v>1.1066917179681543E-3</v>
      </c>
      <c r="AD8" s="2">
        <f>Y8*('Operating Phases'!$I$4/0.5)^1.5</f>
        <v>0</v>
      </c>
      <c r="AE8" s="27">
        <f>V8*('Operating Phases'!$C$4/70)^4.4*EXP(11604*0.9*(1/293-1/('Operating Phases'!$D$4+273)))</f>
        <v>2.8795407159260447E-2</v>
      </c>
      <c r="AF8" s="7">
        <f>(P8*'Operating Phases'!$Z$4*'Operating Phases'!$AA$4)^(0.511*LN(Resistors!T8))</f>
        <v>0.99177496654302699</v>
      </c>
      <c r="AG8" s="2">
        <f t="shared" si="1"/>
        <v>1.2670187078082644</v>
      </c>
      <c r="AH8" s="27">
        <f>Q8*((('Operating Phases'!$B$3/8760)*(W8+X8+Y8+Z8)*AA8)+(('Operating Phases'!$B$4/8760)*(AB8+AC8+AD8+AE8)*AF8))</f>
        <v>1.7271175259393752E-3</v>
      </c>
      <c r="AI8" s="58">
        <f>AH8*AG8*'Operating Phases'!$AC$3</f>
        <v>8.7531608637948545E-3</v>
      </c>
    </row>
    <row r="9" spans="1:35" x14ac:dyDescent="0.25">
      <c r="A9" s="40" t="s">
        <v>50</v>
      </c>
      <c r="B9" s="40" t="s">
        <v>49</v>
      </c>
      <c r="C9" s="40" t="s">
        <v>110</v>
      </c>
      <c r="D9" s="40" t="s">
        <v>42</v>
      </c>
      <c r="E9" s="40">
        <v>1000</v>
      </c>
      <c r="F9" s="40">
        <v>0.5</v>
      </c>
      <c r="G9" s="50">
        <f t="shared" si="0"/>
        <v>2.5000000000000001E-4</v>
      </c>
      <c r="H9" s="40">
        <v>0.25</v>
      </c>
      <c r="I9" s="40" t="s">
        <v>43</v>
      </c>
      <c r="J9" s="40">
        <v>40</v>
      </c>
      <c r="K9" s="2" t="s">
        <v>71</v>
      </c>
      <c r="L9" s="3">
        <v>4.75</v>
      </c>
      <c r="M9" s="6">
        <v>0</v>
      </c>
      <c r="N9" s="2">
        <v>2</v>
      </c>
      <c r="O9" s="7">
        <v>4</v>
      </c>
      <c r="P9" s="33">
        <v>1.3</v>
      </c>
      <c r="Q9" s="6">
        <v>0.01</v>
      </c>
      <c r="R9" s="2">
        <v>70</v>
      </c>
      <c r="S9" s="2">
        <v>0.01</v>
      </c>
      <c r="T9" s="2">
        <v>0.97</v>
      </c>
      <c r="U9" s="2">
        <v>0.01</v>
      </c>
      <c r="V9" s="7">
        <v>0.01</v>
      </c>
      <c r="W9" s="31">
        <f>S9*EXP(11604*0.15*(1/293-1/('Operating Phases'!$D$3+273+R9*(G9/H9))))</f>
        <v>1.3372292205961808E-2</v>
      </c>
      <c r="X9" s="2">
        <f>T9*((12*'Operating Phases'!$G$3)/'Operating Phases'!$B$3)*(MIN('Operating Phases'!$H$3,2)/2)^(1/3)*('Operating Phases'!$E$3/20)^1.9*EXP(1414*(1/313-1/('Operating Phases'!$F$3+273)))</f>
        <v>1.347719078739354</v>
      </c>
      <c r="Y9" s="2">
        <f>U9*('Operating Phases'!$I$3/0.5)^1.5</f>
        <v>0.01</v>
      </c>
      <c r="Z9" s="2">
        <v>0</v>
      </c>
      <c r="AA9" s="32">
        <f>(P9*'Operating Phases'!$Z$3*'Operating Phases'!$AA$3)^(0.511*LN(Resistors!L9))</f>
        <v>3.7751824170749537</v>
      </c>
      <c r="AB9" s="6">
        <v>0</v>
      </c>
      <c r="AC9" s="2">
        <f>X9*((12*'Operating Phases'!$G$4)/'Operating Phases'!$B$4)*(MIN('Operating Phases'!$H$4,2)/2)^(1/3)*('Operating Phases'!$E$4/20)^1.9*EXP(1414*(1/313-1/('Operating Phases'!$F$4+273)))</f>
        <v>1.1066917179681543E-3</v>
      </c>
      <c r="AD9" s="2">
        <f>Y9*('Operating Phases'!$I$4/0.5)^1.5</f>
        <v>0</v>
      </c>
      <c r="AE9" s="27">
        <f>V9*('Operating Phases'!$C$4/70)^4.4*EXP(11604*0.9*(1/293-1/('Operating Phases'!$D$4+273)))</f>
        <v>2.8795407159260447E-2</v>
      </c>
      <c r="AF9" s="7">
        <f>(P9*'Operating Phases'!$Z$4*'Operating Phases'!$AA$4)^(0.511*LN(Resistors!T9))</f>
        <v>0.98773320320639857</v>
      </c>
      <c r="AG9" s="2">
        <f t="shared" si="1"/>
        <v>1.2670187078082644</v>
      </c>
      <c r="AH9" s="27">
        <f>Q9*((('Operating Phases'!$B$3/8760)*(W9+X9+Y9+Z9)*AA9)+(('Operating Phases'!$B$4/8760)*(AB9+AC9+AD9+AE9)*AF9))</f>
        <v>2.0578819795760458E-3</v>
      </c>
      <c r="AI9" s="58">
        <f>AH9*AG9*'Operating Phases'!$AC$3</f>
        <v>1.0429499866337419E-2</v>
      </c>
    </row>
    <row r="10" spans="1:35" x14ac:dyDescent="0.25">
      <c r="A10" s="40" t="s">
        <v>51</v>
      </c>
      <c r="B10" s="40" t="s">
        <v>49</v>
      </c>
      <c r="C10" s="40" t="s">
        <v>110</v>
      </c>
      <c r="D10" s="40" t="s">
        <v>42</v>
      </c>
      <c r="E10" s="40">
        <v>1000</v>
      </c>
      <c r="F10" s="40">
        <v>0.5</v>
      </c>
      <c r="G10" s="50">
        <f t="shared" si="0"/>
        <v>2.5000000000000001E-4</v>
      </c>
      <c r="H10" s="40">
        <v>0.25</v>
      </c>
      <c r="I10" s="40" t="s">
        <v>43</v>
      </c>
      <c r="J10" s="40">
        <v>35</v>
      </c>
      <c r="K10" s="2" t="s">
        <v>71</v>
      </c>
      <c r="L10" s="3">
        <v>4.75</v>
      </c>
      <c r="M10" s="6">
        <v>0</v>
      </c>
      <c r="N10" s="2">
        <v>2</v>
      </c>
      <c r="O10" s="7">
        <v>4</v>
      </c>
      <c r="P10" s="33">
        <v>1.3</v>
      </c>
      <c r="Q10" s="6">
        <v>0.01</v>
      </c>
      <c r="R10" s="2">
        <v>70</v>
      </c>
      <c r="S10" s="2">
        <v>0.01</v>
      </c>
      <c r="T10" s="2">
        <v>0.97</v>
      </c>
      <c r="U10" s="2">
        <v>0.01</v>
      </c>
      <c r="V10" s="7">
        <v>0.01</v>
      </c>
      <c r="W10" s="31">
        <f>S10*EXP(11604*0.15*(1/293-1/('Operating Phases'!$D$3+273+R10*(G10/H10))))</f>
        <v>1.3372292205961808E-2</v>
      </c>
      <c r="X10" s="2">
        <f>T10*((12*'Operating Phases'!$G$3)/'Operating Phases'!$B$3)*(MIN('Operating Phases'!$H$3,2)/2)^(1/3)*('Operating Phases'!$E$3/20)^1.9*EXP(1414*(1/313-1/('Operating Phases'!$F$3+273)))</f>
        <v>1.347719078739354</v>
      </c>
      <c r="Y10" s="2">
        <f>U10*('Operating Phases'!$I$3/0.5)^1.5</f>
        <v>0.01</v>
      </c>
      <c r="Z10" s="2">
        <v>0</v>
      </c>
      <c r="AA10" s="32">
        <f>(P10*'Operating Phases'!$Z$3*'Operating Phases'!$AA$3)^(0.511*LN(Resistors!L10))</f>
        <v>3.7751824170749537</v>
      </c>
      <c r="AB10" s="6">
        <v>0</v>
      </c>
      <c r="AC10" s="2">
        <f>X10*((12*'Operating Phases'!$G$4)/'Operating Phases'!$B$4)*(MIN('Operating Phases'!$H$4,2)/2)^(1/3)*('Operating Phases'!$E$4/20)^1.9*EXP(1414*(1/313-1/('Operating Phases'!$F$4+273)))</f>
        <v>1.1066917179681543E-3</v>
      </c>
      <c r="AD10" s="2">
        <f>Y10*('Operating Phases'!$I$4/0.5)^1.5</f>
        <v>0</v>
      </c>
      <c r="AE10" s="27">
        <f>V10*('Operating Phases'!$C$4/70)^4.4*EXP(11604*0.9*(1/293-1/('Operating Phases'!$D$4+273)))</f>
        <v>2.8795407159260447E-2</v>
      </c>
      <c r="AF10" s="7">
        <f>(P10*'Operating Phases'!$Z$4*'Operating Phases'!$AA$4)^(0.511*LN(Resistors!T10))</f>
        <v>0.98773320320639857</v>
      </c>
      <c r="AG10" s="2">
        <f t="shared" si="1"/>
        <v>1.2670187078082644</v>
      </c>
      <c r="AH10" s="27">
        <f>Q10*((('Operating Phases'!$B$3/8760)*(W10+X10+Y10+Z10)*AA10)+(('Operating Phases'!$B$4/8760)*(AB10+AC10+AD10+AE10)*AF10))</f>
        <v>2.0578819795760458E-3</v>
      </c>
      <c r="AI10" s="58">
        <f>AH10*AG10*'Operating Phases'!$AC$3</f>
        <v>1.0429499866337419E-2</v>
      </c>
    </row>
    <row r="11" spans="1:35" x14ac:dyDescent="0.25">
      <c r="A11" s="40" t="s">
        <v>52</v>
      </c>
      <c r="B11" s="40" t="s">
        <v>49</v>
      </c>
      <c r="C11" s="40" t="s">
        <v>110</v>
      </c>
      <c r="D11" s="40" t="s">
        <v>42</v>
      </c>
      <c r="E11" s="40">
        <v>1000</v>
      </c>
      <c r="F11" s="40">
        <v>0.5</v>
      </c>
      <c r="G11" s="50">
        <f t="shared" si="0"/>
        <v>2.5000000000000001E-4</v>
      </c>
      <c r="H11" s="40">
        <v>0.25</v>
      </c>
      <c r="I11" s="40" t="s">
        <v>43</v>
      </c>
      <c r="J11" s="40">
        <v>35</v>
      </c>
      <c r="K11" s="2" t="s">
        <v>71</v>
      </c>
      <c r="L11" s="3">
        <v>4.75</v>
      </c>
      <c r="M11" s="6">
        <v>0</v>
      </c>
      <c r="N11" s="2">
        <v>2</v>
      </c>
      <c r="O11" s="7">
        <v>4</v>
      </c>
      <c r="P11" s="33">
        <v>1.3</v>
      </c>
      <c r="Q11" s="6">
        <v>0.01</v>
      </c>
      <c r="R11" s="2">
        <v>70</v>
      </c>
      <c r="S11" s="2">
        <v>0.01</v>
      </c>
      <c r="T11" s="2">
        <v>0.97</v>
      </c>
      <c r="U11" s="2">
        <v>0.01</v>
      </c>
      <c r="V11" s="7">
        <v>0.01</v>
      </c>
      <c r="W11" s="31">
        <f>S11*EXP(11604*0.15*(1/293-1/('Operating Phases'!$D$3+273+R11*(G11/H11))))</f>
        <v>1.3372292205961808E-2</v>
      </c>
      <c r="X11" s="2">
        <f>T11*((12*'Operating Phases'!$G$3)/'Operating Phases'!$B$3)*(MIN('Operating Phases'!$H$3,2)/2)^(1/3)*('Operating Phases'!$E$3/20)^1.9*EXP(1414*(1/313-1/('Operating Phases'!$F$3+273)))</f>
        <v>1.347719078739354</v>
      </c>
      <c r="Y11" s="2">
        <f>U11*('Operating Phases'!$I$3/0.5)^1.5</f>
        <v>0.01</v>
      </c>
      <c r="Z11" s="2">
        <v>0</v>
      </c>
      <c r="AA11" s="32">
        <f>(P11*'Operating Phases'!$Z$3*'Operating Phases'!$AA$3)^(0.511*LN(Resistors!L11))</f>
        <v>3.7751824170749537</v>
      </c>
      <c r="AB11" s="6">
        <v>0</v>
      </c>
      <c r="AC11" s="2">
        <f>X11*((12*'Operating Phases'!$G$4)/'Operating Phases'!$B$4)*(MIN('Operating Phases'!$H$4,2)/2)^(1/3)*('Operating Phases'!$E$4/20)^1.9*EXP(1414*(1/313-1/('Operating Phases'!$F$4+273)))</f>
        <v>1.1066917179681543E-3</v>
      </c>
      <c r="AD11" s="2">
        <f>Y11*('Operating Phases'!$I$4/0.5)^1.5</f>
        <v>0</v>
      </c>
      <c r="AE11" s="27">
        <f>V11*('Operating Phases'!$C$4/70)^4.4*EXP(11604*0.9*(1/293-1/('Operating Phases'!$D$4+273)))</f>
        <v>2.8795407159260447E-2</v>
      </c>
      <c r="AF11" s="7">
        <f>(P11*'Operating Phases'!$Z$4*'Operating Phases'!$AA$4)^(0.511*LN(Resistors!T11))</f>
        <v>0.98773320320639857</v>
      </c>
      <c r="AG11" s="2">
        <f t="shared" si="1"/>
        <v>1.2670187078082644</v>
      </c>
      <c r="AH11" s="27">
        <f>Q11*((('Operating Phases'!$B$3/8760)*(W11+X11+Y11+Z11)*AA11)+(('Operating Phases'!$B$4/8760)*(AB11+AC11+AD11+AE11)*AF11))</f>
        <v>2.0578819795760458E-3</v>
      </c>
      <c r="AI11" s="58">
        <f>AH11*AG11*'Operating Phases'!$AC$3</f>
        <v>1.0429499866337419E-2</v>
      </c>
    </row>
    <row r="12" spans="1:35" ht="15.75" thickBot="1" x14ac:dyDescent="0.3">
      <c r="A12" s="40" t="s">
        <v>53</v>
      </c>
      <c r="B12" s="40" t="s">
        <v>49</v>
      </c>
      <c r="C12" s="40" t="s">
        <v>110</v>
      </c>
      <c r="D12" s="40" t="s">
        <v>42</v>
      </c>
      <c r="E12" s="40">
        <v>1000</v>
      </c>
      <c r="F12" s="40">
        <v>0.5</v>
      </c>
      <c r="G12" s="50">
        <f t="shared" si="0"/>
        <v>2.5000000000000001E-4</v>
      </c>
      <c r="H12" s="40">
        <v>0.25</v>
      </c>
      <c r="I12" s="40" t="s">
        <v>43</v>
      </c>
      <c r="J12" s="40">
        <v>35</v>
      </c>
      <c r="K12" s="2" t="s">
        <v>71</v>
      </c>
      <c r="L12" s="3">
        <v>4.75</v>
      </c>
      <c r="M12" s="8">
        <v>0</v>
      </c>
      <c r="N12" s="9">
        <v>2</v>
      </c>
      <c r="O12" s="10">
        <v>4</v>
      </c>
      <c r="P12" s="33">
        <v>1.3</v>
      </c>
      <c r="Q12" s="8">
        <v>0.01</v>
      </c>
      <c r="R12" s="9">
        <v>70</v>
      </c>
      <c r="S12" s="9">
        <v>0.01</v>
      </c>
      <c r="T12" s="9">
        <v>0.97</v>
      </c>
      <c r="U12" s="9">
        <v>0.01</v>
      </c>
      <c r="V12" s="10">
        <v>0.01</v>
      </c>
      <c r="W12" s="41">
        <f>S12*EXP(11604*0.15*(1/293-1/('Operating Phases'!$D$3+273+R12*(G12/H12))))</f>
        <v>1.3372292205961808E-2</v>
      </c>
      <c r="X12" s="9">
        <f>T12*((12*'Operating Phases'!$G$3)/'Operating Phases'!$B$3)*(MIN('Operating Phases'!$H$3,2)/2)^(1/3)*('Operating Phases'!$E$3/20)^1.9*EXP(1414*(1/313-1/('Operating Phases'!$F$3+273)))</f>
        <v>1.347719078739354</v>
      </c>
      <c r="Y12" s="9">
        <f>U12*('Operating Phases'!$I$3/0.5)^1.5</f>
        <v>0.01</v>
      </c>
      <c r="Z12" s="9">
        <v>0</v>
      </c>
      <c r="AA12" s="43">
        <f>(P12*'Operating Phases'!$Z$3*'Operating Phases'!$AA$3)^(0.511*LN(Resistors!L12))</f>
        <v>3.7751824170749537</v>
      </c>
      <c r="AB12" s="8">
        <v>0</v>
      </c>
      <c r="AC12" s="9">
        <f>X12*((12*'Operating Phases'!$G$4)/'Operating Phases'!$B$4)*(MIN('Operating Phases'!$H$4,2)/2)^(1/3)*('Operating Phases'!$E$4/20)^1.9*EXP(1414*(1/313-1/('Operating Phases'!$F$4+273)))</f>
        <v>1.1066917179681543E-3</v>
      </c>
      <c r="AD12" s="9">
        <f>Y12*('Operating Phases'!$I$4/0.5)^1.5</f>
        <v>0</v>
      </c>
      <c r="AE12" s="42">
        <f>V12*('Operating Phases'!$C$4/70)^4.4*EXP(11604*0.9*(1/293-1/('Operating Phases'!$D$4+273)))</f>
        <v>2.8795407159260447E-2</v>
      </c>
      <c r="AF12" s="10">
        <f>(P12*'Operating Phases'!$Z$4*'Operating Phases'!$AA$4)^(0.511*LN(Resistors!T12))</f>
        <v>0.98773320320639857</v>
      </c>
      <c r="AG12" s="2">
        <f t="shared" si="1"/>
        <v>1.2670187078082644</v>
      </c>
      <c r="AH12" s="27">
        <f>Q12*((('Operating Phases'!$B$3/8760)*(W12+X12+Y12+Z12)*AA12)+(('Operating Phases'!$B$4/8760)*(AB12+AC12+AD12+AE12)*AF12))</f>
        <v>2.0578819795760458E-3</v>
      </c>
      <c r="AI12" s="58">
        <f>AH12*AG12*'Operating Phases'!$AC$3</f>
        <v>1.0429499866337419E-2</v>
      </c>
    </row>
    <row r="13" spans="1:35" ht="15.75" thickBot="1" x14ac:dyDescent="0.3">
      <c r="P13" s="12"/>
      <c r="AG13" s="12"/>
      <c r="AH13" s="20" t="s">
        <v>105</v>
      </c>
      <c r="AI13" s="59">
        <f>SUM(AI4:AI12)</f>
        <v>8.8840207646926156E-2</v>
      </c>
    </row>
    <row r="14" spans="1:35" ht="15.75" thickTop="1" x14ac:dyDescent="0.25"/>
  </sheetData>
  <mergeCells count="4">
    <mergeCell ref="M2:O2"/>
    <mergeCell ref="Q2:V2"/>
    <mergeCell ref="W2:AA2"/>
    <mergeCell ref="AB2:AF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zoomScale="90" zoomScaleNormal="90" workbookViewId="0">
      <selection activeCell="H30" sqref="H30"/>
    </sheetView>
  </sheetViews>
  <sheetFormatPr defaultRowHeight="15" x14ac:dyDescent="0.25"/>
  <cols>
    <col min="2" max="2" width="10" customWidth="1"/>
    <col min="4" max="4" width="12.85546875" customWidth="1"/>
    <col min="8" max="8" width="15.140625" customWidth="1"/>
    <col min="9" max="9" width="17" customWidth="1"/>
    <col min="11" max="11" width="9.140625" customWidth="1"/>
    <col min="14" max="14" width="12.42578125" customWidth="1"/>
    <col min="15" max="15" width="19.7109375" customWidth="1"/>
    <col min="16" max="16" width="15.140625" customWidth="1"/>
    <col min="17" max="17" width="20.140625" customWidth="1"/>
    <col min="18" max="18" width="10.7109375" customWidth="1"/>
    <col min="19" max="19" width="18" customWidth="1"/>
    <col min="20" max="20" width="13.42578125" customWidth="1"/>
    <col min="22" max="22" width="12.28515625" customWidth="1"/>
    <col min="23" max="23" width="18.85546875" customWidth="1"/>
    <col min="24" max="24" width="10.85546875" customWidth="1"/>
    <col min="25" max="25" width="17.28515625" customWidth="1"/>
    <col min="26" max="26" width="12.5703125" customWidth="1"/>
    <col min="28" max="28" width="10.7109375" customWidth="1"/>
  </cols>
  <sheetData>
    <row r="1" spans="1:31" ht="78.75" customHeight="1" thickBot="1" x14ac:dyDescent="0.3"/>
    <row r="2" spans="1:31" x14ac:dyDescent="0.25">
      <c r="H2" s="203" t="s">
        <v>97</v>
      </c>
      <c r="I2" s="204"/>
      <c r="J2" s="205"/>
      <c r="L2" s="206" t="s">
        <v>246</v>
      </c>
      <c r="M2" s="207"/>
      <c r="N2" s="207"/>
      <c r="O2" s="207"/>
      <c r="P2" s="208"/>
      <c r="Q2" s="206" t="s">
        <v>76</v>
      </c>
      <c r="R2" s="207"/>
      <c r="S2" s="207"/>
      <c r="T2" s="207"/>
      <c r="U2" s="207"/>
      <c r="V2" s="208"/>
      <c r="W2" s="206" t="s">
        <v>77</v>
      </c>
      <c r="X2" s="207"/>
      <c r="Y2" s="207"/>
      <c r="Z2" s="207"/>
      <c r="AA2" s="207"/>
      <c r="AB2" s="208"/>
    </row>
    <row r="3" spans="1:31" s="1" customFormat="1" ht="18.75" thickBot="1" x14ac:dyDescent="0.4">
      <c r="A3" s="55" t="s">
        <v>0</v>
      </c>
      <c r="B3" s="55" t="s">
        <v>1</v>
      </c>
      <c r="C3" s="55" t="s">
        <v>3</v>
      </c>
      <c r="D3" s="55" t="s">
        <v>4</v>
      </c>
      <c r="E3" s="55" t="s">
        <v>238</v>
      </c>
      <c r="F3" s="55" t="s">
        <v>58</v>
      </c>
      <c r="G3" s="79" t="s">
        <v>219</v>
      </c>
      <c r="H3" s="88" t="s">
        <v>220</v>
      </c>
      <c r="I3" s="85" t="s">
        <v>221</v>
      </c>
      <c r="J3" s="69" t="s">
        <v>96</v>
      </c>
      <c r="K3" s="89" t="s">
        <v>222</v>
      </c>
      <c r="L3" s="71" t="s">
        <v>239</v>
      </c>
      <c r="M3" s="73" t="s">
        <v>240</v>
      </c>
      <c r="N3" s="73" t="s">
        <v>241</v>
      </c>
      <c r="O3" s="73" t="s">
        <v>242</v>
      </c>
      <c r="P3" s="83" t="s">
        <v>243</v>
      </c>
      <c r="Q3" s="71" t="s">
        <v>229</v>
      </c>
      <c r="R3" s="73" t="s">
        <v>244</v>
      </c>
      <c r="S3" s="73" t="s">
        <v>245</v>
      </c>
      <c r="T3" s="73" t="s">
        <v>192</v>
      </c>
      <c r="U3" s="73" t="s">
        <v>193</v>
      </c>
      <c r="V3" s="83" t="s">
        <v>194</v>
      </c>
      <c r="W3" s="71" t="s">
        <v>229</v>
      </c>
      <c r="X3" s="73" t="s">
        <v>244</v>
      </c>
      <c r="Y3" s="73" t="s">
        <v>245</v>
      </c>
      <c r="Z3" s="73" t="s">
        <v>192</v>
      </c>
      <c r="AA3" s="73" t="s">
        <v>193</v>
      </c>
      <c r="AB3" s="83" t="s">
        <v>194</v>
      </c>
      <c r="AC3" s="85" t="s">
        <v>223</v>
      </c>
      <c r="AD3" s="68" t="s">
        <v>230</v>
      </c>
      <c r="AE3" s="45" t="s">
        <v>102</v>
      </c>
    </row>
    <row r="4" spans="1:31" x14ac:dyDescent="0.25">
      <c r="A4" s="40" t="s">
        <v>37</v>
      </c>
      <c r="B4" s="40" t="s">
        <v>118</v>
      </c>
      <c r="C4" s="40" t="s">
        <v>183</v>
      </c>
      <c r="D4" s="40" t="s">
        <v>152</v>
      </c>
      <c r="E4" s="40">
        <v>5</v>
      </c>
      <c r="F4" s="40">
        <v>35</v>
      </c>
      <c r="G4" s="3">
        <v>5.2</v>
      </c>
      <c r="H4" s="6">
        <v>1</v>
      </c>
      <c r="I4" s="2">
        <v>2</v>
      </c>
      <c r="J4" s="7">
        <v>4</v>
      </c>
      <c r="K4" s="48">
        <v>1.6</v>
      </c>
      <c r="L4" s="6">
        <v>2.1000000000000001E-2</v>
      </c>
      <c r="M4" s="2">
        <v>5.4999999999999997E-3</v>
      </c>
      <c r="N4" s="2">
        <v>5.6999999999999998E-4</v>
      </c>
      <c r="O4" s="2">
        <v>2.8500000000000001E-3</v>
      </c>
      <c r="P4" s="7">
        <v>5.7000000000000003E-5</v>
      </c>
      <c r="Q4" s="6">
        <f>EXP(11604*0.7*(1/293-(1/(F4+273))))</f>
        <v>3.8579641477229769</v>
      </c>
      <c r="R4" s="2">
        <f>(12*'Operating Phases'!$G$3/'Operating Phases'!$B$3)*('Operating Phases'!$E$3/20)^4*EXP(1414*(1/313-1/('Operating Phases'!$F$3+273)))</f>
        <v>0.75937500000000002</v>
      </c>
      <c r="S4" s="2">
        <f>(12*'Operating Phases'!$G$3/'Operating Phases'!$B$3)*(MIN('Operating Phases'!$H$3,2)/2)^(1/3)*('Operating Phases'!$E$3/20)^1.9*EXP(1414*(1/313-1/('Operating Phases'!$F$3+273)))</f>
        <v>1.3894011121024268</v>
      </c>
      <c r="T4" s="2">
        <f>('Operating Phases'!$I$3/0.5)^1.5</f>
        <v>1</v>
      </c>
      <c r="U4" s="2">
        <v>0</v>
      </c>
      <c r="V4" s="7">
        <f>(K4*'Operating Phases'!$Z$3*'Operating Phases'!$AA$3)^(0.511*LN(G4))</f>
        <v>4.8576184017574864</v>
      </c>
      <c r="W4" s="6">
        <v>0</v>
      </c>
      <c r="X4" s="2">
        <f>(12*'Operating Phases'!$G$4/'Operating Phases'!$B$4)*('Operating Phases'!$E$4/20)^4*EXP(1414*(1/313-1/('Operating Phases'!$F$4+273)))</f>
        <v>4.4880319148936175E-4</v>
      </c>
      <c r="Y4" s="2">
        <f>(12*'Operating Phases'!$G$4/'Operating Phases'!$B$4)*(MIN('Operating Phases'!$H$4,2)/2)^(1/3)*('Operating Phases'!$E$4/20)^1.9*EXP(1414*(1/313-1/('Operating Phases'!$F$4+273)))</f>
        <v>8.2115904970592613E-4</v>
      </c>
      <c r="Z4" s="2">
        <f>('Operating Phases'!$I$4/0.5)^1.5</f>
        <v>0</v>
      </c>
      <c r="AA4" s="2">
        <f>('Operating Phases'!$C$4/70)^4.4*EXP(11604*0.9*(1/293-1/(273+'Operating Phases'!$D$4)))</f>
        <v>2.8795407159260447</v>
      </c>
      <c r="AB4" s="7">
        <f>(K4*'Operating Phases'!$Z$4*'Operating Phases'!$AA$4)^(0.511*LN(G4))</f>
        <v>2.3233192965738967</v>
      </c>
      <c r="AC4" s="2">
        <f>EXP(1.39*(1-((H4+I4+1)*J4/36))-0.69)</f>
        <v>1.085697049035097</v>
      </c>
      <c r="AD4" s="30">
        <f>SUM(('Operating Phases'!$B$3/8760)*(L4*Q4+M4*U4+N4*R4+O4*S4+P4*T4)*V4,('Operating Phases'!$B$4/8760)*(L4*W4+M4*AA4+N4*X4+O4*Y4+P4*Z4)*AB4)</f>
        <v>4.9759210568184928E-2</v>
      </c>
      <c r="AE4" s="61">
        <f>AD4*AC4*'Operating Phases'!$AC$3</f>
        <v>0.21609371230477756</v>
      </c>
    </row>
    <row r="5" spans="1:31" x14ac:dyDescent="0.25">
      <c r="A5" s="40" t="s">
        <v>38</v>
      </c>
      <c r="B5" s="40" t="s">
        <v>118</v>
      </c>
      <c r="C5" s="40" t="s">
        <v>183</v>
      </c>
      <c r="D5" s="40" t="s">
        <v>152</v>
      </c>
      <c r="E5" s="40">
        <v>5</v>
      </c>
      <c r="F5" s="40">
        <v>35</v>
      </c>
      <c r="G5" s="3">
        <v>5.2</v>
      </c>
      <c r="H5" s="6">
        <v>1</v>
      </c>
      <c r="I5" s="2">
        <v>2</v>
      </c>
      <c r="J5" s="7">
        <v>4</v>
      </c>
      <c r="K5" s="48">
        <v>1.6</v>
      </c>
      <c r="L5" s="6">
        <v>2.1000000000000001E-2</v>
      </c>
      <c r="M5" s="2">
        <v>5.4999999999999997E-3</v>
      </c>
      <c r="N5" s="2">
        <v>5.6999999999999998E-4</v>
      </c>
      <c r="O5" s="2">
        <v>2.8500000000000001E-3</v>
      </c>
      <c r="P5" s="7">
        <v>5.7000000000000003E-5</v>
      </c>
      <c r="Q5" s="6">
        <f>EXP(11604*0.7*(1/293-(1/(F5+273))))</f>
        <v>3.8579641477229769</v>
      </c>
      <c r="R5" s="2">
        <f>(12*'Operating Phases'!$G$3/'Operating Phases'!$B$3)*('Operating Phases'!$E$3/20)^4*EXP(1414*(1/313-1/('Operating Phases'!$F$3+273)))</f>
        <v>0.75937500000000002</v>
      </c>
      <c r="S5" s="2">
        <f>(12*'Operating Phases'!$G$3/'Operating Phases'!$B$3)*(MIN('Operating Phases'!$H$3,2)/2)^(1/3)*('Operating Phases'!$E$3/20)^1.9*EXP(1414*(1/313-1/('Operating Phases'!$F$3+273)))</f>
        <v>1.3894011121024268</v>
      </c>
      <c r="T5" s="2">
        <f>('Operating Phases'!$I$3/0.5)^1.5</f>
        <v>1</v>
      </c>
      <c r="U5" s="2">
        <v>0</v>
      </c>
      <c r="V5" s="7">
        <f>(K5*'Operating Phases'!$Z$3*'Operating Phases'!$AA$3)^(0.511*LN(G5))</f>
        <v>4.8576184017574864</v>
      </c>
      <c r="W5" s="6">
        <v>0</v>
      </c>
      <c r="X5" s="2">
        <f>(12*'Operating Phases'!$G$4/'Operating Phases'!$B$4)*('Operating Phases'!$E$4/20)^4*EXP(1414*(1/313-1/('Operating Phases'!$F$4+273)))</f>
        <v>4.4880319148936175E-4</v>
      </c>
      <c r="Y5" s="2">
        <f>(12*'Operating Phases'!$G$4/'Operating Phases'!$B$4)*(MIN('Operating Phases'!$H$4,2)/2)^(1/3)*('Operating Phases'!$E$4/20)^1.9*EXP(1414*(1/313-1/('Operating Phases'!$F$4+273)))</f>
        <v>8.2115904970592613E-4</v>
      </c>
      <c r="Z5" s="2">
        <f>('Operating Phases'!$I$4/0.5)^1.5</f>
        <v>0</v>
      </c>
      <c r="AA5" s="2">
        <f>('Operating Phases'!$C$4/70)^4.4*EXP(11604*0.9*(1/293-1/(273+'Operating Phases'!$D$4)))</f>
        <v>2.8795407159260447</v>
      </c>
      <c r="AB5" s="7">
        <f>(K5*'Operating Phases'!$Z$4*'Operating Phases'!$AA$4)^(0.511*LN(G5))</f>
        <v>2.3233192965738967</v>
      </c>
      <c r="AC5" s="2">
        <f>EXP(1.39*(1-((H5+I5+1)*J5/36))-0.69)</f>
        <v>1.085697049035097</v>
      </c>
      <c r="AD5" s="30">
        <f>SUM(('Operating Phases'!$B$3/8760)*(L5*Q5+M5*U5+N5*R5+O5*S5+P5*T5)*V5,('Operating Phases'!$B$4/8760)*(L5*W5+M5*AA5+N5*X5+O5*Y5+P5*Z5)*AB5)</f>
        <v>4.9759210568184928E-2</v>
      </c>
      <c r="AE5" s="61">
        <f>AD5*AC5*'Operating Phases'!$AC$3</f>
        <v>0.21609371230477756</v>
      </c>
    </row>
    <row r="6" spans="1:31" x14ac:dyDescent="0.25">
      <c r="A6" s="40" t="s">
        <v>119</v>
      </c>
      <c r="B6" s="40" t="s">
        <v>118</v>
      </c>
      <c r="C6" s="40" t="s">
        <v>183</v>
      </c>
      <c r="D6" s="40" t="s">
        <v>152</v>
      </c>
      <c r="E6" s="40">
        <v>5</v>
      </c>
      <c r="F6" s="40">
        <v>35</v>
      </c>
      <c r="G6" s="3">
        <v>5.2</v>
      </c>
      <c r="H6" s="6">
        <v>1</v>
      </c>
      <c r="I6" s="2">
        <v>2</v>
      </c>
      <c r="J6" s="7">
        <v>4</v>
      </c>
      <c r="K6" s="48">
        <v>1.6</v>
      </c>
      <c r="L6" s="6">
        <v>2.1000000000000001E-2</v>
      </c>
      <c r="M6" s="2">
        <v>5.4999999999999997E-3</v>
      </c>
      <c r="N6" s="2">
        <v>5.6999999999999998E-4</v>
      </c>
      <c r="O6" s="2">
        <v>2.8500000000000001E-3</v>
      </c>
      <c r="P6" s="7">
        <v>5.7000000000000003E-5</v>
      </c>
      <c r="Q6" s="6">
        <f>EXP(11604*0.7*(1/293-(1/(F6+273))))</f>
        <v>3.8579641477229769</v>
      </c>
      <c r="R6" s="2">
        <f>(12*'Operating Phases'!$G$3/'Operating Phases'!$B$3)*('Operating Phases'!$E$3/20)^4*EXP(1414*(1/313-1/('Operating Phases'!$F$3+273)))</f>
        <v>0.75937500000000002</v>
      </c>
      <c r="S6" s="2">
        <f>(12*'Operating Phases'!$G$3/'Operating Phases'!$B$3)*(MIN('Operating Phases'!$H$3,2)/2)^(1/3)*('Operating Phases'!$E$3/20)^1.9*EXP(1414*(1/313-1/('Operating Phases'!$F$3+273)))</f>
        <v>1.3894011121024268</v>
      </c>
      <c r="T6" s="2">
        <f>('Operating Phases'!$I$3/0.5)^1.5</f>
        <v>1</v>
      </c>
      <c r="U6" s="2">
        <v>0</v>
      </c>
      <c r="V6" s="7">
        <f>(K6*'Operating Phases'!$Z$3*'Operating Phases'!$AA$3)^(0.511*LN(G6))</f>
        <v>4.8576184017574864</v>
      </c>
      <c r="W6" s="6">
        <v>0</v>
      </c>
      <c r="X6" s="2">
        <f>(12*'Operating Phases'!$G$4/'Operating Phases'!$B$4)*('Operating Phases'!$E$4/20)^4*EXP(1414*(1/313-1/('Operating Phases'!$F$4+273)))</f>
        <v>4.4880319148936175E-4</v>
      </c>
      <c r="Y6" s="2">
        <f>(12*'Operating Phases'!$G$4/'Operating Phases'!$B$4)*(MIN('Operating Phases'!$H$4,2)/2)^(1/3)*('Operating Phases'!$E$4/20)^1.9*EXP(1414*(1/313-1/('Operating Phases'!$F$4+273)))</f>
        <v>8.2115904970592613E-4</v>
      </c>
      <c r="Z6" s="2">
        <f>('Operating Phases'!$I$4/0.5)^1.5</f>
        <v>0</v>
      </c>
      <c r="AA6" s="2">
        <f>('Operating Phases'!$C$4/70)^4.4*EXP(11604*0.9*(1/293-1/(273+'Operating Phases'!$D$4)))</f>
        <v>2.8795407159260447</v>
      </c>
      <c r="AB6" s="7">
        <f>(K6*'Operating Phases'!$Z$4*'Operating Phases'!$AA$4)^(0.511*LN(G6))</f>
        <v>2.3233192965738967</v>
      </c>
      <c r="AC6" s="2">
        <f>EXP(1.39*(1-((H6+I6+1)*J6/36))-0.69)</f>
        <v>1.085697049035097</v>
      </c>
      <c r="AD6" s="30">
        <f>SUM(('Operating Phases'!$B$3/8760)*(L6*Q6+M6*U6+N6*R6+O6*S6+P6*T6)*V6,('Operating Phases'!$B$4/8760)*(L6*W6+M6*AA6+N6*X6+O6*Y6+P6*Z6)*AB6)</f>
        <v>4.9759210568184928E-2</v>
      </c>
      <c r="AE6" s="61">
        <f>AD6*AC6*'Operating Phases'!$AC$3</f>
        <v>0.21609371230477756</v>
      </c>
    </row>
    <row r="7" spans="1:31" ht="15.75" thickBot="1" x14ac:dyDescent="0.3">
      <c r="A7" s="40" t="s">
        <v>120</v>
      </c>
      <c r="B7" s="40" t="s">
        <v>118</v>
      </c>
      <c r="C7" s="40" t="s">
        <v>183</v>
      </c>
      <c r="D7" s="40" t="s">
        <v>152</v>
      </c>
      <c r="E7" s="40">
        <v>5</v>
      </c>
      <c r="F7" s="40">
        <v>35</v>
      </c>
      <c r="G7" s="3">
        <v>5.2</v>
      </c>
      <c r="H7" s="8">
        <v>1</v>
      </c>
      <c r="I7" s="9">
        <v>2</v>
      </c>
      <c r="J7" s="10">
        <v>4</v>
      </c>
      <c r="K7" s="48">
        <v>1.6</v>
      </c>
      <c r="L7" s="8">
        <v>2.1000000000000001E-2</v>
      </c>
      <c r="M7" s="9">
        <v>5.4999999999999997E-3</v>
      </c>
      <c r="N7" s="9">
        <v>5.6999999999999998E-4</v>
      </c>
      <c r="O7" s="9">
        <v>2.8500000000000001E-3</v>
      </c>
      <c r="P7" s="10">
        <v>5.7000000000000003E-5</v>
      </c>
      <c r="Q7" s="8">
        <f>EXP(11604*0.7*(1/293-(1/(F7+273))))</f>
        <v>3.8579641477229769</v>
      </c>
      <c r="R7" s="9">
        <f>(12*'Operating Phases'!$G$3/'Operating Phases'!$B$3)*('Operating Phases'!$E$3/20)^4*EXP(1414*(1/313-1/('Operating Phases'!$F$3+273)))</f>
        <v>0.75937500000000002</v>
      </c>
      <c r="S7" s="9">
        <f>(12*'Operating Phases'!$G$3/'Operating Phases'!$B$3)*(MIN('Operating Phases'!$H$3,2)/2)^(1/3)*('Operating Phases'!$E$3/20)^1.9*EXP(1414*(1/313-1/('Operating Phases'!$F$3+273)))</f>
        <v>1.3894011121024268</v>
      </c>
      <c r="T7" s="9">
        <f>('Operating Phases'!$I$3/0.5)^1.5</f>
        <v>1</v>
      </c>
      <c r="U7" s="9">
        <v>0</v>
      </c>
      <c r="V7" s="10">
        <f>(K7*'Operating Phases'!$Z$3*'Operating Phases'!$AA$3)^(0.511*LN(G7))</f>
        <v>4.8576184017574864</v>
      </c>
      <c r="W7" s="8">
        <v>0</v>
      </c>
      <c r="X7" s="9">
        <f>(12*'Operating Phases'!$G$4/'Operating Phases'!$B$4)*('Operating Phases'!$E$4/20)^4*EXP(1414*(1/313-1/('Operating Phases'!$F$4+273)))</f>
        <v>4.4880319148936175E-4</v>
      </c>
      <c r="Y7" s="9">
        <f>(12*'Operating Phases'!$G$4/'Operating Phases'!$B$4)*(MIN('Operating Phases'!$H$4,2)/2)^(1/3)*('Operating Phases'!$E$4/20)^1.9*EXP(1414*(1/313-1/('Operating Phases'!$F$4+273)))</f>
        <v>8.2115904970592613E-4</v>
      </c>
      <c r="Z7" s="9">
        <f>('Operating Phases'!$I$4/0.5)^1.5</f>
        <v>0</v>
      </c>
      <c r="AA7" s="9">
        <f>('Operating Phases'!$C$4/70)^4.4*EXP(11604*0.9*(1/293-1/(273+'Operating Phases'!$D$4)))</f>
        <v>2.8795407159260447</v>
      </c>
      <c r="AB7" s="10">
        <f>(K7*'Operating Phases'!$Z$4*'Operating Phases'!$AA$4)^(0.511*LN(G7))</f>
        <v>2.3233192965738967</v>
      </c>
      <c r="AC7" s="2">
        <f>EXP(1.39*(1-((H7+I7+1)*J7/36))-0.69)</f>
        <v>1.085697049035097</v>
      </c>
      <c r="AD7" s="30">
        <f>SUM(('Operating Phases'!$B$3/8760)*(L7*Q7+M7*U7+N7*R7+O7*S7+P7*T7)*V7,('Operating Phases'!$B$4/8760)*(L7*W7+M7*AA7+N7*X7+O7*Y7+P7*Z7)*AB7)</f>
        <v>4.9759210568184928E-2</v>
      </c>
      <c r="AE7" s="61">
        <f>AD7*AC7*'Operating Phases'!$AC$3</f>
        <v>0.21609371230477756</v>
      </c>
    </row>
    <row r="8" spans="1:31" ht="15.75" thickBot="1" x14ac:dyDescent="0.3">
      <c r="AD8" s="26" t="s">
        <v>106</v>
      </c>
      <c r="AE8" s="62">
        <f>SUM(AE4:AE7)</f>
        <v>0.86437484921911023</v>
      </c>
    </row>
    <row r="9" spans="1:31" ht="15.75" thickTop="1" x14ac:dyDescent="0.25"/>
  </sheetData>
  <mergeCells count="4">
    <mergeCell ref="H2:J2"/>
    <mergeCell ref="Q2:V2"/>
    <mergeCell ref="W2:AB2"/>
    <mergeCell ref="L2:P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L1" workbookViewId="0">
      <selection activeCell="P27" sqref="P27"/>
    </sheetView>
  </sheetViews>
  <sheetFormatPr defaultRowHeight="15" x14ac:dyDescent="0.25"/>
  <cols>
    <col min="8" max="8" width="14.5703125" customWidth="1"/>
    <col min="9" max="9" width="16.85546875" customWidth="1"/>
    <col min="11" max="11" width="12.7109375" customWidth="1"/>
    <col min="14" max="14" width="12" customWidth="1"/>
    <col min="15" max="15" width="21.140625" customWidth="1"/>
    <col min="16" max="16" width="15.140625" customWidth="1"/>
    <col min="17" max="17" width="18.28515625" customWidth="1"/>
    <col min="18" max="18" width="12.42578125" customWidth="1"/>
    <col min="19" max="19" width="18.7109375" customWidth="1"/>
    <col min="20" max="20" width="13.7109375" customWidth="1"/>
    <col min="22" max="22" width="12.140625" customWidth="1"/>
    <col min="23" max="23" width="18.7109375" customWidth="1"/>
    <col min="24" max="24" width="12.140625" customWidth="1"/>
    <col min="25" max="25" width="18" customWidth="1"/>
    <col min="26" max="26" width="14.7109375" customWidth="1"/>
    <col min="28" max="28" width="12.85546875" customWidth="1"/>
    <col min="30" max="30" width="10" customWidth="1"/>
    <col min="31" max="31" width="10.42578125" customWidth="1"/>
  </cols>
  <sheetData>
    <row r="1" spans="1:31" ht="43.5" customHeight="1" thickBot="1" x14ac:dyDescent="0.3"/>
    <row r="2" spans="1:31" x14ac:dyDescent="0.25">
      <c r="H2" s="203" t="s">
        <v>97</v>
      </c>
      <c r="I2" s="204"/>
      <c r="J2" s="205"/>
      <c r="L2" s="206" t="s">
        <v>247</v>
      </c>
      <c r="M2" s="207"/>
      <c r="N2" s="207"/>
      <c r="O2" s="207"/>
      <c r="P2" s="208"/>
      <c r="Q2" s="206" t="s">
        <v>76</v>
      </c>
      <c r="R2" s="207"/>
      <c r="S2" s="207"/>
      <c r="T2" s="207"/>
      <c r="U2" s="207"/>
      <c r="V2" s="208"/>
      <c r="W2" s="206" t="s">
        <v>77</v>
      </c>
      <c r="X2" s="207"/>
      <c r="Y2" s="207"/>
      <c r="Z2" s="207"/>
      <c r="AA2" s="207"/>
      <c r="AB2" s="208"/>
    </row>
    <row r="3" spans="1:31" s="1" customFormat="1" ht="18.75" thickBot="1" x14ac:dyDescent="0.4">
      <c r="A3" s="55" t="s">
        <v>0</v>
      </c>
      <c r="B3" s="55" t="s">
        <v>1</v>
      </c>
      <c r="C3" s="55" t="s">
        <v>3</v>
      </c>
      <c r="D3" s="55" t="s">
        <v>4</v>
      </c>
      <c r="E3" s="55" t="s">
        <v>238</v>
      </c>
      <c r="F3" s="55" t="s">
        <v>58</v>
      </c>
      <c r="G3" s="79" t="s">
        <v>219</v>
      </c>
      <c r="H3" s="88" t="s">
        <v>220</v>
      </c>
      <c r="I3" s="85" t="s">
        <v>221</v>
      </c>
      <c r="J3" s="69" t="s">
        <v>96</v>
      </c>
      <c r="K3" s="89" t="s">
        <v>222</v>
      </c>
      <c r="L3" s="71" t="s">
        <v>239</v>
      </c>
      <c r="M3" s="73" t="s">
        <v>240</v>
      </c>
      <c r="N3" s="73" t="s">
        <v>241</v>
      </c>
      <c r="O3" s="73" t="s">
        <v>242</v>
      </c>
      <c r="P3" s="83" t="s">
        <v>243</v>
      </c>
      <c r="Q3" s="71" t="s">
        <v>229</v>
      </c>
      <c r="R3" s="73" t="s">
        <v>244</v>
      </c>
      <c r="S3" s="73" t="s">
        <v>245</v>
      </c>
      <c r="T3" s="73" t="s">
        <v>192</v>
      </c>
      <c r="U3" s="73" t="s">
        <v>193</v>
      </c>
      <c r="V3" s="83" t="s">
        <v>194</v>
      </c>
      <c r="W3" s="71" t="s">
        <v>229</v>
      </c>
      <c r="X3" s="73" t="s">
        <v>244</v>
      </c>
      <c r="Y3" s="73" t="s">
        <v>245</v>
      </c>
      <c r="Z3" s="73" t="s">
        <v>192</v>
      </c>
      <c r="AA3" s="73" t="s">
        <v>193</v>
      </c>
      <c r="AB3" s="83" t="s">
        <v>194</v>
      </c>
      <c r="AC3" s="85" t="s">
        <v>223</v>
      </c>
      <c r="AD3" s="68" t="s">
        <v>230</v>
      </c>
      <c r="AE3" s="45" t="s">
        <v>102</v>
      </c>
    </row>
    <row r="4" spans="1:31" x14ac:dyDescent="0.25">
      <c r="A4" s="40" t="s">
        <v>34</v>
      </c>
      <c r="B4" s="40" t="s">
        <v>116</v>
      </c>
      <c r="C4" s="40" t="s">
        <v>150</v>
      </c>
      <c r="D4" s="40" t="s">
        <v>151</v>
      </c>
      <c r="E4" s="40">
        <v>1.2</v>
      </c>
      <c r="F4" s="40">
        <v>20</v>
      </c>
      <c r="G4" s="3">
        <v>4.8499999999999996</v>
      </c>
      <c r="H4" s="6">
        <v>1</v>
      </c>
      <c r="I4" s="2">
        <v>2</v>
      </c>
      <c r="J4" s="7">
        <v>4</v>
      </c>
      <c r="K4" s="48">
        <v>1.3</v>
      </c>
      <c r="L4" s="6">
        <v>0.01</v>
      </c>
      <c r="M4" s="2">
        <v>3.3999999999999998E-3</v>
      </c>
      <c r="N4" s="2">
        <v>1.04E-2</v>
      </c>
      <c r="O4" s="2">
        <v>5.1999999999999998E-2</v>
      </c>
      <c r="P4" s="7">
        <v>5.1999999999999998E-3</v>
      </c>
      <c r="Q4" s="6">
        <f>EXP(11604*0.7*(1/293-(1/(F4+273))))</f>
        <v>1</v>
      </c>
      <c r="R4" s="2">
        <f>(12*'Operating Phases'!$G$3/'Operating Phases'!$B$3)*('Operating Phases'!$E$3/20)^4*EXP(1414*(1/313-1/('Operating Phases'!$F$3+273)))</f>
        <v>0.75937500000000002</v>
      </c>
      <c r="S4" s="2">
        <f>(12*'Operating Phases'!$G$3/'Operating Phases'!$B$3)*(MIN('Operating Phases'!$H$3,2)/2)^(1/3)*('Operating Phases'!$E$3/20)^1.9*EXP(1414*(1/313-1/('Operating Phases'!$F$3+273)))</f>
        <v>1.3894011121024268</v>
      </c>
      <c r="T4" s="2">
        <f>('Operating Phases'!$I$3/0.5)^1.5</f>
        <v>1</v>
      </c>
      <c r="U4" s="2">
        <v>0</v>
      </c>
      <c r="V4" s="7">
        <f>(K4*'Operating Phases'!$Z$3*'Operating Phases'!$AA$3)^(0.511*LN(G4))</f>
        <v>3.8428393477312861</v>
      </c>
      <c r="W4" s="6">
        <v>0</v>
      </c>
      <c r="X4" s="2">
        <f>(12*'Operating Phases'!$G$4/'Operating Phases'!$B$4)*('Operating Phases'!$E$4/20)^4*EXP(1414*(1/313-1/('Operating Phases'!$F$4+273)))</f>
        <v>4.4880319148936175E-4</v>
      </c>
      <c r="Y4" s="2">
        <f>(12*'Operating Phases'!$G$4/'Operating Phases'!$B$4)*(MIN('Operating Phases'!$H$4,2)/2)^(1/3)*('Operating Phases'!$E$4/20)^1.9*EXP(1414*(1/313-1/('Operating Phases'!$F$4+273)))</f>
        <v>8.2115904970592613E-4</v>
      </c>
      <c r="Z4" s="2">
        <f>('Operating Phases'!$I$4/0.5)^1.5</f>
        <v>0</v>
      </c>
      <c r="AA4" s="2">
        <f>('Operating Phases'!$C$4/70)^4.4*EXP(11604*0.9*(1/293-1/('Operating Phases'!$D$4+273)))</f>
        <v>2.8795407159260447</v>
      </c>
      <c r="AB4" s="7">
        <f>(K4*'Operating Phases'!$Z$4*'Operating Phases'!$AA$4)^(0.511*LN(G4))</f>
        <v>1.8961631483716084</v>
      </c>
      <c r="AC4" s="2">
        <f>EXP(1.39*(1-((H4+I4+1)*J4/36))-0.69)</f>
        <v>1.085697049035097</v>
      </c>
      <c r="AD4" s="30">
        <f>SUM(('Operating Phases'!$B$3/8760)*(L4*Q4+M4*U4+N4*R4+O4*S4+P4*T4)*V4,('Operating Phases'!$B$4/8760)*(L4*W4+M4*AA4+N4*X4+O4*Y4+P4*Z4)*V4)</f>
        <v>4.9058383865025756E-2</v>
      </c>
      <c r="AE4" s="61">
        <f>AD4*AC4*'Operating Phases'!$AC$3</f>
        <v>0.21305017037075794</v>
      </c>
    </row>
    <row r="5" spans="1:31" x14ac:dyDescent="0.25">
      <c r="A5" s="40" t="s">
        <v>35</v>
      </c>
      <c r="B5" s="40" t="s">
        <v>117</v>
      </c>
      <c r="C5" s="40" t="s">
        <v>150</v>
      </c>
      <c r="D5" s="40" t="s">
        <v>151</v>
      </c>
      <c r="E5" s="40">
        <v>2</v>
      </c>
      <c r="F5" s="40">
        <v>20</v>
      </c>
      <c r="G5" s="3">
        <v>4.8499999999999996</v>
      </c>
      <c r="H5" s="6">
        <v>1</v>
      </c>
      <c r="I5" s="2">
        <v>2</v>
      </c>
      <c r="J5" s="7">
        <v>4</v>
      </c>
      <c r="K5" s="48">
        <v>1.3</v>
      </c>
      <c r="L5" s="6">
        <v>0.01</v>
      </c>
      <c r="M5" s="2">
        <v>3.3999999999999998E-3</v>
      </c>
      <c r="N5" s="2">
        <v>1.04E-2</v>
      </c>
      <c r="O5" s="2">
        <v>5.1999999999999998E-2</v>
      </c>
      <c r="P5" s="7">
        <v>5.1999999999999998E-3</v>
      </c>
      <c r="Q5" s="6">
        <f>EXP(11604*0.7*(1/293-(1/(F5+273))))</f>
        <v>1</v>
      </c>
      <c r="R5" s="2">
        <f>(12*'Operating Phases'!$G$3/'Operating Phases'!$B$3)*('Operating Phases'!$E$3/20)^4*EXP(1414*(1/313-1/('Operating Phases'!$F$3+273)))</f>
        <v>0.75937500000000002</v>
      </c>
      <c r="S5" s="2">
        <f>(12*'Operating Phases'!$G$3/'Operating Phases'!$B$3)*(MIN('Operating Phases'!$H$3,2)/2)^(1/3)*('Operating Phases'!$E$3/20)^1.9*EXP(1414*(1/313-1/('Operating Phases'!$F$3+273)))</f>
        <v>1.3894011121024268</v>
      </c>
      <c r="T5" s="2">
        <f>('Operating Phases'!$I$3/0.5)^1.5</f>
        <v>1</v>
      </c>
      <c r="U5" s="2">
        <v>0</v>
      </c>
      <c r="V5" s="7">
        <f>(K5*'Operating Phases'!$Z$3*'Operating Phases'!$AA$3)^(0.511*LN(G5))</f>
        <v>3.8428393477312861</v>
      </c>
      <c r="W5" s="6">
        <v>0</v>
      </c>
      <c r="X5" s="2">
        <f>(12*'Operating Phases'!$G$4/'Operating Phases'!$B$4)*('Operating Phases'!$E$4/20)^4*EXP(1414*(1/313-1/('Operating Phases'!$F$4+273)))</f>
        <v>4.4880319148936175E-4</v>
      </c>
      <c r="Y5" s="2">
        <f>(12*'Operating Phases'!$G$4/'Operating Phases'!$B$4)*(MIN('Operating Phases'!$H$4,2)/2)^(1/3)*('Operating Phases'!$E$4/20)^1.9*EXP(1414*(1/313-1/('Operating Phases'!$F$4+273)))</f>
        <v>8.2115904970592613E-4</v>
      </c>
      <c r="Z5" s="2">
        <f>('Operating Phases'!$I$4/0.5)^1.5</f>
        <v>0</v>
      </c>
      <c r="AA5" s="2">
        <f>('Operating Phases'!$C$4/70)^4.4*EXP(11604*0.9*(1/293-1/('Operating Phases'!$D$4+273)))</f>
        <v>2.8795407159260447</v>
      </c>
      <c r="AB5" s="7">
        <f>(K5*'Operating Phases'!$Z$4*'Operating Phases'!$AA$4)^(0.511*LN(G5))</f>
        <v>1.8961631483716084</v>
      </c>
      <c r="AC5" s="2">
        <f>EXP(1.39*(1-((H5+I5+1)*J5/36))-0.69)</f>
        <v>1.085697049035097</v>
      </c>
      <c r="AD5" s="30">
        <f>SUM(('Operating Phases'!$B$3/8760)*(L5*Q5+M5*U5+N5*R5+O5*S5+P5*T5)*V5,('Operating Phases'!$B$4/8760)*(L5*W5+M5*AA5+N5*X5+O5*Y5+P5*Z5)*V5)</f>
        <v>4.9058383865025756E-2</v>
      </c>
      <c r="AE5" s="61">
        <f>AD5*AC5*'Operating Phases'!$AC$3</f>
        <v>0.21305017037075794</v>
      </c>
    </row>
    <row r="6" spans="1:31" ht="15.75" thickBot="1" x14ac:dyDescent="0.3">
      <c r="A6" s="40" t="s">
        <v>36</v>
      </c>
      <c r="B6" s="40" t="s">
        <v>117</v>
      </c>
      <c r="C6" s="40" t="s">
        <v>150</v>
      </c>
      <c r="D6" s="40" t="s">
        <v>151</v>
      </c>
      <c r="E6" s="40">
        <v>2</v>
      </c>
      <c r="F6" s="40">
        <v>20</v>
      </c>
      <c r="G6" s="3">
        <v>4.8499999999999996</v>
      </c>
      <c r="H6" s="8">
        <v>1</v>
      </c>
      <c r="I6" s="9">
        <v>2</v>
      </c>
      <c r="J6" s="10">
        <v>4</v>
      </c>
      <c r="K6" s="48">
        <v>1.3</v>
      </c>
      <c r="L6" s="8">
        <v>0.01</v>
      </c>
      <c r="M6" s="9">
        <v>3.3999999999999998E-3</v>
      </c>
      <c r="N6" s="9">
        <v>1.04E-2</v>
      </c>
      <c r="O6" s="9">
        <v>5.1999999999999998E-2</v>
      </c>
      <c r="P6" s="10">
        <v>5.1999999999999998E-3</v>
      </c>
      <c r="Q6" s="8">
        <f>EXP(11604*0.7*(1/293-(1/(F6+273))))</f>
        <v>1</v>
      </c>
      <c r="R6" s="9">
        <f>(12*'Operating Phases'!$G$3/'Operating Phases'!$B$3)*('Operating Phases'!$E$3/20)^4*EXP(1414*(1/313-1/('Operating Phases'!$F$3+273)))</f>
        <v>0.75937500000000002</v>
      </c>
      <c r="S6" s="9">
        <f>(12*'Operating Phases'!$G$3/'Operating Phases'!$B$3)*(MIN('Operating Phases'!$H$3,2)/2)^(1/3)*('Operating Phases'!$E$3/20)^1.9*EXP(1414*(1/313-1/('Operating Phases'!$F$3+273)))</f>
        <v>1.3894011121024268</v>
      </c>
      <c r="T6" s="9">
        <f>('Operating Phases'!$I$3/0.5)^1.5</f>
        <v>1</v>
      </c>
      <c r="U6" s="9">
        <v>0</v>
      </c>
      <c r="V6" s="10">
        <f>(K6*'Operating Phases'!$Z$3*'Operating Phases'!$AA$3)^(0.511*LN(G6))</f>
        <v>3.8428393477312861</v>
      </c>
      <c r="W6" s="8">
        <v>0</v>
      </c>
      <c r="X6" s="9">
        <f>(12*'Operating Phases'!$G$4/'Operating Phases'!$B$4)*('Operating Phases'!$E$4/20)^4*EXP(1414*(1/313-1/('Operating Phases'!$F$4+273)))</f>
        <v>4.4880319148936175E-4</v>
      </c>
      <c r="Y6" s="9">
        <f>(12*'Operating Phases'!$G$4/'Operating Phases'!$B$4)*(MIN('Operating Phases'!$H$4,2)/2)^(1/3)*('Operating Phases'!$E$4/20)^1.9*EXP(1414*(1/313-1/('Operating Phases'!$F$4+273)))</f>
        <v>8.2115904970592613E-4</v>
      </c>
      <c r="Z6" s="9">
        <f>('Operating Phases'!$I$4/0.5)^1.5</f>
        <v>0</v>
      </c>
      <c r="AA6" s="9">
        <f>('Operating Phases'!$C$4/70)^4.4*EXP(11604*0.9*(1/293-1/('Operating Phases'!$D$4+273)))</f>
        <v>2.8795407159260447</v>
      </c>
      <c r="AB6" s="10">
        <f>(K6*'Operating Phases'!$Z$4*'Operating Phases'!$AA$4)^(0.511*LN(G6))</f>
        <v>1.8961631483716084</v>
      </c>
      <c r="AC6" s="2">
        <f>EXP(1.39*(1-((H6+I6+1)*J6/36))-0.69)</f>
        <v>1.085697049035097</v>
      </c>
      <c r="AD6" s="30">
        <f>SUM(('Operating Phases'!$B$3/8760)*(L6*Q6+M6*U6+N6*R6+O6*S6+P6*T6)*V6,('Operating Phases'!$B$4/8760)*(L6*W6+M6*AA6+N6*X6+O6*Y6+P6*Z6)*V6)</f>
        <v>4.9058383865025756E-2</v>
      </c>
      <c r="AE6" s="61">
        <f>AD6*AC6*'Operating Phases'!$AC$3</f>
        <v>0.21305017037075794</v>
      </c>
    </row>
    <row r="7" spans="1:31" ht="15.75" thickBot="1" x14ac:dyDescent="0.3">
      <c r="A7" s="44"/>
      <c r="B7" s="44"/>
      <c r="C7" s="44"/>
      <c r="D7" s="44"/>
      <c r="E7" s="44"/>
      <c r="F7" s="44"/>
      <c r="AD7" s="26" t="s">
        <v>106</v>
      </c>
      <c r="AE7" s="62">
        <f>SUM(AE4:AE6)</f>
        <v>0.63915051111227383</v>
      </c>
    </row>
    <row r="8" spans="1:31" ht="15.75" thickTop="1" x14ac:dyDescent="0.25"/>
  </sheetData>
  <mergeCells count="4">
    <mergeCell ref="H2:J2"/>
    <mergeCell ref="Q2:V2"/>
    <mergeCell ref="W2:AB2"/>
    <mergeCell ref="L2:P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topLeftCell="J1" workbookViewId="0">
      <selection activeCell="D19" sqref="D19"/>
    </sheetView>
  </sheetViews>
  <sheetFormatPr defaultRowHeight="15" x14ac:dyDescent="0.25"/>
  <cols>
    <col min="1" max="1" width="7.28515625" customWidth="1"/>
    <col min="2" max="2" width="12.5703125" customWidth="1"/>
    <col min="3" max="3" width="16.42578125" customWidth="1"/>
    <col min="4" max="4" width="64" customWidth="1"/>
    <col min="5" max="5" width="11.140625" customWidth="1"/>
    <col min="6" max="6" width="13.5703125" customWidth="1"/>
    <col min="7" max="7" width="16.5703125" customWidth="1"/>
    <col min="8" max="8" width="17" customWidth="1"/>
    <col min="10" max="10" width="12.7109375" customWidth="1"/>
    <col min="11" max="11" width="10.28515625" customWidth="1"/>
    <col min="12" max="12" width="5.28515625" customWidth="1"/>
    <col min="13" max="14" width="5" customWidth="1"/>
    <col min="16" max="16" width="6.28515625" customWidth="1"/>
    <col min="17" max="17" width="5.140625" customWidth="1"/>
    <col min="18" max="18" width="13.28515625" customWidth="1"/>
    <col min="19" max="20" width="6.140625" customWidth="1"/>
    <col min="21" max="21" width="20" customWidth="1"/>
    <col min="22" max="22" width="6" customWidth="1"/>
    <col min="23" max="23" width="6.140625" customWidth="1"/>
    <col min="24" max="24" width="14.85546875" customWidth="1"/>
    <col min="25" max="25" width="21.5703125" customWidth="1"/>
    <col min="26" max="26" width="12" customWidth="1"/>
    <col min="27" max="27" width="18" customWidth="1"/>
    <col min="28" max="28" width="14.85546875" customWidth="1"/>
    <col min="30" max="30" width="11.5703125" customWidth="1"/>
    <col min="31" max="31" width="19.85546875" customWidth="1"/>
    <col min="32" max="32" width="12.85546875" customWidth="1"/>
    <col min="33" max="33" width="18.28515625" customWidth="1"/>
    <col min="34" max="34" width="15.28515625" customWidth="1"/>
    <col min="36" max="36" width="10.7109375" customWidth="1"/>
    <col min="38" max="38" width="10.5703125" customWidth="1"/>
  </cols>
  <sheetData>
    <row r="1" spans="1:39" ht="41.25" customHeight="1" thickBot="1" x14ac:dyDescent="0.3"/>
    <row r="2" spans="1:39" x14ac:dyDescent="0.25">
      <c r="G2" s="203" t="s">
        <v>97</v>
      </c>
      <c r="H2" s="204"/>
      <c r="I2" s="205"/>
      <c r="K2" s="206" t="s">
        <v>249</v>
      </c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8"/>
      <c r="Y2" s="206" t="s">
        <v>76</v>
      </c>
      <c r="Z2" s="207"/>
      <c r="AA2" s="207"/>
      <c r="AB2" s="207"/>
      <c r="AC2" s="207"/>
      <c r="AD2" s="208"/>
      <c r="AE2" s="206" t="s">
        <v>77</v>
      </c>
      <c r="AF2" s="207"/>
      <c r="AG2" s="207"/>
      <c r="AH2" s="207"/>
      <c r="AI2" s="207"/>
      <c r="AJ2" s="208"/>
    </row>
    <row r="3" spans="1:39" s="1" customFormat="1" ht="18.75" thickBot="1" x14ac:dyDescent="0.4">
      <c r="A3" s="52" t="s">
        <v>0</v>
      </c>
      <c r="B3" s="52" t="s">
        <v>1</v>
      </c>
      <c r="C3" s="52" t="s">
        <v>3</v>
      </c>
      <c r="D3" s="52" t="s">
        <v>4</v>
      </c>
      <c r="E3" s="52" t="s">
        <v>58</v>
      </c>
      <c r="F3" s="70" t="s">
        <v>219</v>
      </c>
      <c r="G3" s="66" t="s">
        <v>220</v>
      </c>
      <c r="H3" s="65" t="s">
        <v>221</v>
      </c>
      <c r="I3" s="72" t="s">
        <v>96</v>
      </c>
      <c r="J3" s="74" t="s">
        <v>222</v>
      </c>
      <c r="K3" s="76" t="s">
        <v>239</v>
      </c>
      <c r="L3" s="67" t="s">
        <v>248</v>
      </c>
      <c r="M3" s="67" t="s">
        <v>99</v>
      </c>
      <c r="N3" s="67" t="s">
        <v>100</v>
      </c>
      <c r="O3" s="67" t="s">
        <v>240</v>
      </c>
      <c r="P3" s="67" t="s">
        <v>99</v>
      </c>
      <c r="Q3" s="67" t="s">
        <v>100</v>
      </c>
      <c r="R3" s="67" t="s">
        <v>241</v>
      </c>
      <c r="S3" s="67" t="s">
        <v>99</v>
      </c>
      <c r="T3" s="67" t="s">
        <v>100</v>
      </c>
      <c r="U3" s="67" t="s">
        <v>242</v>
      </c>
      <c r="V3" s="67" t="s">
        <v>99</v>
      </c>
      <c r="W3" s="67" t="s">
        <v>100</v>
      </c>
      <c r="X3" s="82" t="s">
        <v>243</v>
      </c>
      <c r="Y3" s="76" t="s">
        <v>229</v>
      </c>
      <c r="Z3" s="67" t="s">
        <v>244</v>
      </c>
      <c r="AA3" s="67" t="s">
        <v>245</v>
      </c>
      <c r="AB3" s="67" t="s">
        <v>192</v>
      </c>
      <c r="AC3" s="67" t="s">
        <v>193</v>
      </c>
      <c r="AD3" s="82" t="s">
        <v>194</v>
      </c>
      <c r="AE3" s="76" t="s">
        <v>229</v>
      </c>
      <c r="AF3" s="67" t="s">
        <v>244</v>
      </c>
      <c r="AG3" s="67" t="s">
        <v>245</v>
      </c>
      <c r="AH3" s="67" t="s">
        <v>192</v>
      </c>
      <c r="AI3" s="67" t="s">
        <v>193</v>
      </c>
      <c r="AJ3" s="82" t="s">
        <v>194</v>
      </c>
      <c r="AK3" s="65" t="s">
        <v>223</v>
      </c>
      <c r="AL3" s="90" t="s">
        <v>230</v>
      </c>
      <c r="AM3" s="77" t="s">
        <v>102</v>
      </c>
    </row>
    <row r="4" spans="1:39" x14ac:dyDescent="0.25">
      <c r="A4" s="50" t="s">
        <v>56</v>
      </c>
      <c r="B4" s="50" t="s">
        <v>140</v>
      </c>
      <c r="C4" s="64" t="s">
        <v>166</v>
      </c>
      <c r="D4" s="64" t="s">
        <v>167</v>
      </c>
      <c r="E4" s="50">
        <v>35</v>
      </c>
      <c r="F4" s="28">
        <v>6.3</v>
      </c>
      <c r="G4" s="31">
        <v>1</v>
      </c>
      <c r="H4" s="27">
        <v>2</v>
      </c>
      <c r="I4" s="32">
        <v>4</v>
      </c>
      <c r="J4" s="49">
        <v>1.6</v>
      </c>
      <c r="K4" s="31">
        <v>2.1000000000000001E-2</v>
      </c>
      <c r="L4" s="27">
        <v>28</v>
      </c>
      <c r="M4" s="27">
        <v>11.57</v>
      </c>
      <c r="N4" s="27">
        <v>2.2200000000000002</v>
      </c>
      <c r="O4" s="27">
        <f>EXP(-M4)*$M4^N4</f>
        <v>2.1667704356391282E-3</v>
      </c>
      <c r="P4" s="27">
        <v>15.56</v>
      </c>
      <c r="Q4" s="27">
        <v>2.66</v>
      </c>
      <c r="R4" s="27">
        <f>EXP(-P4)*$M4^Q4</f>
        <v>1.1771846661350042E-4</v>
      </c>
      <c r="S4" s="27">
        <v>13.95</v>
      </c>
      <c r="T4" s="27">
        <v>2.66</v>
      </c>
      <c r="U4" s="27">
        <f>EXP(-S4)*$M4^T4</f>
        <v>5.8892326649737396E-4</v>
      </c>
      <c r="V4" s="27">
        <v>18.559999999999999</v>
      </c>
      <c r="W4" s="27">
        <v>2.66</v>
      </c>
      <c r="X4" s="32">
        <f>EXP(-V4)*$M4^W4</f>
        <v>5.860857345446465E-6</v>
      </c>
      <c r="Y4" s="31">
        <f>EXP(11604*0.7*(1/293-(1/(E4+273))))</f>
        <v>3.8579641477229769</v>
      </c>
      <c r="Z4" s="27">
        <f>(12*'Operating Phases'!$G$3/'Operating Phases'!$B$3)*('Operating Phases'!$E$3/20)^4*EXP(1414*(1/313-1/('Operating Phases'!$F$3+273)))</f>
        <v>0.75937500000000002</v>
      </c>
      <c r="AA4" s="27">
        <f>(12*'Operating Phases'!$G$3/'Operating Phases'!$B$3)*(MIN('Operating Phases'!$H$3,2)/2)^(1/3)*('Operating Phases'!$E$3/20)^1.9*EXP(1414*(1/313-1/('Operating Phases'!$F$3+273)))</f>
        <v>1.3894011121024268</v>
      </c>
      <c r="AB4" s="27">
        <f>('Operating Phases'!$I$3/0.5)^1.5</f>
        <v>1</v>
      </c>
      <c r="AC4" s="27">
        <v>0</v>
      </c>
      <c r="AD4" s="32">
        <f>(J4*'Operating Phases'!$Z$3*'Operating Phases'!$AA$3)^(0.511*LN(F4))</f>
        <v>5.8387210313328888</v>
      </c>
      <c r="AE4" s="31">
        <v>0</v>
      </c>
      <c r="AF4" s="27">
        <f>(12*'Operating Phases'!$G$4/'Operating Phases'!$B$4)*('Operating Phases'!$E$4/20)^4*EXP(1414*(1/313-1/('Operating Phases'!$F$4+273)))</f>
        <v>4.4880319148936175E-4</v>
      </c>
      <c r="AG4" s="27">
        <f>(12*'Operating Phases'!$G$4/'Operating Phases'!$B$4)*(MIN('Operating Phases'!$H$4,2)/2)^(1/3)*('Operating Phases'!$E$4/20)^1.9*EXP(1414*(1/313-1/('Operating Phases'!$F$4+273)))</f>
        <v>8.2115904970592613E-4</v>
      </c>
      <c r="AH4" s="27">
        <f>('Operating Phases'!$I$4/0.5)^1.5</f>
        <v>0</v>
      </c>
      <c r="AI4" s="27">
        <f>('Operating Phases'!$C$4/70)^4.4*EXP(11604*0.9*(1/293-1/('Operating Phases'!$D$4+273)))</f>
        <v>2.8795407159260447</v>
      </c>
      <c r="AJ4" s="32">
        <f>(J4*'Operating Phases'!$Z$4*'Operating Phases'!$AA$4)^(0.511*LN(F4))</f>
        <v>2.5628377977234575</v>
      </c>
      <c r="AK4" s="27">
        <f>EXP(1.39*(1-((G4+H4+1)*I4/36))-0.69)</f>
        <v>1.085697049035097</v>
      </c>
      <c r="AL4" s="29">
        <f>SUM(('Operating Phases'!$B$3/8760)*(K4*Y4+O4*AC4+R4*Z4+U4*AA4+X4*AB4)*AD4,('Operating Phases'!$B$4/8760)*(K4*AE4+O4*AI4+R4*AF4+U4*AG4+X4*AH4)*AJ4)</f>
        <v>3.1826598847018807E-2</v>
      </c>
      <c r="AM4" s="60">
        <f>AL4*AK4*'Operating Phases'!$AC$3</f>
        <v>0.13821617779612855</v>
      </c>
    </row>
    <row r="5" spans="1:39" x14ac:dyDescent="0.25">
      <c r="A5" s="40" t="s">
        <v>141</v>
      </c>
      <c r="B5" s="40" t="s">
        <v>142</v>
      </c>
      <c r="C5" s="63" t="s">
        <v>168</v>
      </c>
      <c r="D5" s="63" t="s">
        <v>169</v>
      </c>
      <c r="E5" s="50">
        <v>35</v>
      </c>
      <c r="F5" s="28">
        <v>6.3</v>
      </c>
      <c r="G5" s="31">
        <v>1</v>
      </c>
      <c r="H5" s="27">
        <v>2</v>
      </c>
      <c r="I5" s="32">
        <v>4</v>
      </c>
      <c r="J5" s="49">
        <v>1.6</v>
      </c>
      <c r="K5" s="31">
        <v>2.1000000000000001E-2</v>
      </c>
      <c r="L5" s="2">
        <v>16</v>
      </c>
      <c r="M5" s="27">
        <v>11.57</v>
      </c>
      <c r="N5" s="27">
        <v>2.2200000000000002</v>
      </c>
      <c r="O5" s="27">
        <f>EXP(-M5)*$M5^N5</f>
        <v>2.1667704356391282E-3</v>
      </c>
      <c r="P5" s="27">
        <v>15.56</v>
      </c>
      <c r="Q5" s="27">
        <v>2.66</v>
      </c>
      <c r="R5" s="27">
        <f>EXP(-P5)*$M5^Q5</f>
        <v>1.1771846661350042E-4</v>
      </c>
      <c r="S5" s="27">
        <v>13.95</v>
      </c>
      <c r="T5" s="27">
        <v>2.66</v>
      </c>
      <c r="U5" s="27">
        <f>EXP(-S5)*$M5^T5</f>
        <v>5.8892326649737396E-4</v>
      </c>
      <c r="V5" s="27">
        <v>18.559999999999999</v>
      </c>
      <c r="W5" s="27">
        <v>2.66</v>
      </c>
      <c r="X5" s="32">
        <f>EXP(-V5)*$M5^W5</f>
        <v>5.860857345446465E-6</v>
      </c>
      <c r="Y5" s="31">
        <f>EXP(11604*0.7*(1/293-(1/(E5+273))))</f>
        <v>3.8579641477229769</v>
      </c>
      <c r="Z5" s="27">
        <f>(12*'Operating Phases'!$G$3/'Operating Phases'!$B$3)*('Operating Phases'!$E$3/20)^4*EXP(1414*(1/313-1/('Operating Phases'!$F$3+273)))</f>
        <v>0.75937500000000002</v>
      </c>
      <c r="AA5" s="27">
        <f>(12*'Operating Phases'!$G$3/'Operating Phases'!$B$3)*(MIN('Operating Phases'!$H$3,2)/2)^(1/3)*('Operating Phases'!$E$3/20)^1.9*EXP(1414*(1/313-1/('Operating Phases'!$F$3+273)))</f>
        <v>1.3894011121024268</v>
      </c>
      <c r="AB5" s="27">
        <f>('Operating Phases'!$I$3/0.5)^1.5</f>
        <v>1</v>
      </c>
      <c r="AC5" s="27">
        <v>0</v>
      </c>
      <c r="AD5" s="32">
        <f>(J5*'Operating Phases'!$Z$3*'Operating Phases'!$AA$3)^(0.511*LN(F5))</f>
        <v>5.8387210313328888</v>
      </c>
      <c r="AE5" s="31">
        <v>0</v>
      </c>
      <c r="AF5" s="27">
        <f>(12*'Operating Phases'!$G$4/'Operating Phases'!$B$4)*('Operating Phases'!$E$4/20)^4*EXP(1414*(1/313-1/('Operating Phases'!$F$4+273)))</f>
        <v>4.4880319148936175E-4</v>
      </c>
      <c r="AG5" s="27">
        <f>(12*'Operating Phases'!$G$4/'Operating Phases'!$B$4)*(MIN('Operating Phases'!$H$4,2)/2)^(1/3)*('Operating Phases'!$E$4/20)^1.9*EXP(1414*(1/313-1/('Operating Phases'!$F$4+273)))</f>
        <v>8.2115904970592613E-4</v>
      </c>
      <c r="AH5" s="27">
        <f>('Operating Phases'!$I$4/0.5)^1.5</f>
        <v>0</v>
      </c>
      <c r="AI5" s="27">
        <f>('Operating Phases'!$C$4/70)^4.4*EXP(11604*0.9*(1/293-1/('Operating Phases'!$D$4+273)))</f>
        <v>2.8795407159260447</v>
      </c>
      <c r="AJ5" s="32">
        <f>(J5*'Operating Phases'!$Z$4*'Operating Phases'!$AA$4)^(0.511*LN(F5))</f>
        <v>2.5628377977234575</v>
      </c>
      <c r="AK5" s="27">
        <f>EXP(1.39*(1-((G5+H5+1)*I5/36))-0.69)</f>
        <v>1.085697049035097</v>
      </c>
      <c r="AL5" s="29">
        <f>SUM(('Operating Phases'!$B$3/8760)*(K5*Y5+O5*AC5+R5*Z5+U5*AA5+X5*AB5)*AD5,('Operating Phases'!$B$4/8760)*(K5*AE5+O5*AI5+R5*AF5+U5*AG5+X5*AH5)*AJ5)</f>
        <v>3.1826598847018807E-2</v>
      </c>
      <c r="AM5" s="60">
        <f>AL5*AK5*'Operating Phases'!$AC$3</f>
        <v>0.13821617779612855</v>
      </c>
    </row>
    <row r="6" spans="1:39" x14ac:dyDescent="0.25">
      <c r="A6" s="40" t="s">
        <v>143</v>
      </c>
      <c r="B6" s="40" t="s">
        <v>144</v>
      </c>
      <c r="C6" s="63" t="s">
        <v>170</v>
      </c>
      <c r="D6" s="63" t="s">
        <v>171</v>
      </c>
      <c r="E6" s="50">
        <v>35</v>
      </c>
      <c r="F6" s="28">
        <v>6.3</v>
      </c>
      <c r="G6" s="31">
        <v>1</v>
      </c>
      <c r="H6" s="27">
        <v>2</v>
      </c>
      <c r="I6" s="32">
        <v>4</v>
      </c>
      <c r="J6" s="49">
        <v>1.6</v>
      </c>
      <c r="K6" s="31">
        <v>2.1000000000000001E-2</v>
      </c>
      <c r="L6" s="2">
        <v>16</v>
      </c>
      <c r="M6" s="2">
        <v>8.23</v>
      </c>
      <c r="N6" s="2">
        <v>1.17</v>
      </c>
      <c r="O6" s="27">
        <f>EXP(-M6)*$M6^N6</f>
        <v>3.138876446081807E-3</v>
      </c>
      <c r="P6" s="2">
        <v>13.36</v>
      </c>
      <c r="Q6" s="2">
        <v>2.1800000000000002</v>
      </c>
      <c r="R6" s="27">
        <f>EXP(-P6)*$M6^Q6</f>
        <v>1.5609800856146791E-4</v>
      </c>
      <c r="S6" s="2">
        <v>11.06</v>
      </c>
      <c r="T6" s="2">
        <v>2.1800000000000002</v>
      </c>
      <c r="U6" s="27">
        <f>EXP(-S6)*$M6^T6</f>
        <v>1.5569500182253098E-3</v>
      </c>
      <c r="V6" s="2">
        <v>15.66</v>
      </c>
      <c r="W6" s="2">
        <v>2.1800000000000002</v>
      </c>
      <c r="X6" s="32">
        <f>EXP(-V6)*$M6^W6</f>
        <v>1.565020584580508E-5</v>
      </c>
      <c r="Y6" s="31">
        <f>EXP(11604*0.7*(1/293-(1/(E6+273))))</f>
        <v>3.8579641477229769</v>
      </c>
      <c r="Z6" s="27">
        <f>(12*'Operating Phases'!$G$3/'Operating Phases'!$B$3)*('Operating Phases'!$E$3/20)^4*EXP(1414*(1/313-1/('Operating Phases'!$F$3+273)))</f>
        <v>0.75937500000000002</v>
      </c>
      <c r="AA6" s="27">
        <f>(12*'Operating Phases'!$G$3/'Operating Phases'!$B$3)*(MIN('Operating Phases'!$H$3,2)/2)^(1/3)*('Operating Phases'!$E$3/20)^1.9*EXP(1414*(1/313-1/('Operating Phases'!$F$3+273)))</f>
        <v>1.3894011121024268</v>
      </c>
      <c r="AB6" s="27">
        <f>('Operating Phases'!$I$3/0.5)^1.5</f>
        <v>1</v>
      </c>
      <c r="AC6" s="27">
        <v>0</v>
      </c>
      <c r="AD6" s="32">
        <f>(J6*'Operating Phases'!$Z$3*'Operating Phases'!$AA$3)^(0.511*LN(F6))</f>
        <v>5.8387210313328888</v>
      </c>
      <c r="AE6" s="31">
        <v>0</v>
      </c>
      <c r="AF6" s="27">
        <f>(12*'Operating Phases'!$G$4/'Operating Phases'!$B$4)*('Operating Phases'!$E$4/20)^4*EXP(1414*(1/313-1/('Operating Phases'!$F$4+273)))</f>
        <v>4.4880319148936175E-4</v>
      </c>
      <c r="AG6" s="27">
        <f>(12*'Operating Phases'!$G$4/'Operating Phases'!$B$4)*(MIN('Operating Phases'!$H$4,2)/2)^(1/3)*('Operating Phases'!$E$4/20)^1.9*EXP(1414*(1/313-1/('Operating Phases'!$F$4+273)))</f>
        <v>8.2115904970592613E-4</v>
      </c>
      <c r="AH6" s="27">
        <f>('Operating Phases'!$I$4/0.5)^1.5</f>
        <v>0</v>
      </c>
      <c r="AI6" s="27">
        <f>('Operating Phases'!$C$4/70)^4.4*EXP(11604*0.9*(1/293-1/('Operating Phases'!$D$4+273)))</f>
        <v>2.8795407159260447</v>
      </c>
      <c r="AJ6" s="32">
        <f>(J6*'Operating Phases'!$Z$4*'Operating Phases'!$AA$4)^(0.511*LN(F6))</f>
        <v>2.5628377977234575</v>
      </c>
      <c r="AK6" s="27">
        <f>EXP(1.39*(1-((G6+H6+1)*I6/36))-0.69)</f>
        <v>1.085697049035097</v>
      </c>
      <c r="AL6" s="29">
        <f>SUM(('Operating Phases'!$B$3/8760)*(K6*Y6+O6*AC6+R6*Z6+U6*AA6+X6*AB6)*AD6,('Operating Phases'!$B$4/8760)*(K6*AE6+O6*AI6+R6*AF6+U6*AG6+X6*AH6)*AJ6)</f>
        <v>3.9033591390121934E-2</v>
      </c>
      <c r="AM6" s="60">
        <f>AL6*AK6*'Operating Phases'!$AC$3</f>
        <v>0.1695146199419886</v>
      </c>
    </row>
    <row r="7" spans="1:39" x14ac:dyDescent="0.25">
      <c r="A7" s="40" t="s">
        <v>145</v>
      </c>
      <c r="B7" s="40" t="s">
        <v>146</v>
      </c>
      <c r="C7" s="63" t="s">
        <v>172</v>
      </c>
      <c r="D7" s="63" t="s">
        <v>173</v>
      </c>
      <c r="E7" s="50">
        <v>35</v>
      </c>
      <c r="F7" s="28">
        <v>6.3</v>
      </c>
      <c r="G7" s="31">
        <v>1</v>
      </c>
      <c r="H7" s="27">
        <v>2</v>
      </c>
      <c r="I7" s="32">
        <v>4</v>
      </c>
      <c r="J7" s="49">
        <v>1.6</v>
      </c>
      <c r="K7" s="31">
        <v>2.1000000000000001E-2</v>
      </c>
      <c r="L7" s="2">
        <v>16</v>
      </c>
      <c r="M7" s="2">
        <v>8.23</v>
      </c>
      <c r="N7" s="2">
        <v>1.17</v>
      </c>
      <c r="O7" s="27">
        <f>EXP(-M7)*$M7^N7</f>
        <v>3.138876446081807E-3</v>
      </c>
      <c r="P7" s="2">
        <v>13.36</v>
      </c>
      <c r="Q7" s="2">
        <v>2.1800000000000002</v>
      </c>
      <c r="R7" s="27">
        <f>EXP(-P7)*$M7^Q7</f>
        <v>1.5609800856146791E-4</v>
      </c>
      <c r="S7" s="2">
        <v>11.06</v>
      </c>
      <c r="T7" s="2">
        <v>2.1800000000000002</v>
      </c>
      <c r="U7" s="27">
        <f>EXP(-S7)*$M7^T7</f>
        <v>1.5569500182253098E-3</v>
      </c>
      <c r="V7" s="2">
        <v>15.66</v>
      </c>
      <c r="W7" s="2">
        <v>2.1800000000000002</v>
      </c>
      <c r="X7" s="32">
        <f>EXP(-V7)*$M7^W7</f>
        <v>1.565020584580508E-5</v>
      </c>
      <c r="Y7" s="31">
        <f>EXP(11604*0.7*(1/293-(1/(E7+273))))</f>
        <v>3.8579641477229769</v>
      </c>
      <c r="Z7" s="27">
        <f>(12*'Operating Phases'!$G$3/'Operating Phases'!$B$3)*('Operating Phases'!$E$3/20)^4*EXP(1414*(1/313-1/('Operating Phases'!$F$3+273)))</f>
        <v>0.75937500000000002</v>
      </c>
      <c r="AA7" s="27">
        <f>(12*'Operating Phases'!$G$3/'Operating Phases'!$B$3)*(MIN('Operating Phases'!$H$3,2)/2)^(1/3)*('Operating Phases'!$E$3/20)^1.9*EXP(1414*(1/313-1/('Operating Phases'!$F$3+273)))</f>
        <v>1.3894011121024268</v>
      </c>
      <c r="AB7" s="27">
        <f>('Operating Phases'!$I$3/0.5)^1.5</f>
        <v>1</v>
      </c>
      <c r="AC7" s="27">
        <v>0</v>
      </c>
      <c r="AD7" s="32">
        <f>(J7*'Operating Phases'!$Z$3*'Operating Phases'!$AA$3)^(0.511*LN(F7))</f>
        <v>5.8387210313328888</v>
      </c>
      <c r="AE7" s="31">
        <v>0</v>
      </c>
      <c r="AF7" s="27">
        <f>(12*'Operating Phases'!$G$4/'Operating Phases'!$B$4)*('Operating Phases'!$E$4/20)^4*EXP(1414*(1/313-1/('Operating Phases'!$F$4+273)))</f>
        <v>4.4880319148936175E-4</v>
      </c>
      <c r="AG7" s="27">
        <f>(12*'Operating Phases'!$G$4/'Operating Phases'!$B$4)*(MIN('Operating Phases'!$H$4,2)/2)^(1/3)*('Operating Phases'!$E$4/20)^1.9*EXP(1414*(1/313-1/('Operating Phases'!$F$4+273)))</f>
        <v>8.2115904970592613E-4</v>
      </c>
      <c r="AH7" s="27">
        <f>('Operating Phases'!$I$4/0.5)^1.5</f>
        <v>0</v>
      </c>
      <c r="AI7" s="27">
        <f>('Operating Phases'!$C$4/70)^4.4*EXP(11604*0.9*(1/293-1/('Operating Phases'!$D$4+273)))</f>
        <v>2.8795407159260447</v>
      </c>
      <c r="AJ7" s="32">
        <f>(J7*'Operating Phases'!$Z$4*'Operating Phases'!$AA$4)^(0.511*LN(F7))</f>
        <v>2.5628377977234575</v>
      </c>
      <c r="AK7" s="27">
        <f>EXP(1.39*(1-((G7+H7+1)*I7/36))-0.69)</f>
        <v>1.085697049035097</v>
      </c>
      <c r="AL7" s="29">
        <f>SUM(('Operating Phases'!$B$3/8760)*(K7*Y7+O7*AC7+R7*Z7+U7*AA7+X7*AB7)*AD7,('Operating Phases'!$B$4/8760)*(K7*AE7+O7*AI7+R7*AF7+U7*AG7+X7*AH7)*AJ7)</f>
        <v>3.9033591390121934E-2</v>
      </c>
      <c r="AM7" s="60">
        <f>AL7*AK7*'Operating Phases'!$AC$3</f>
        <v>0.1695146199419886</v>
      </c>
    </row>
    <row r="8" spans="1:39" ht="15.75" thickBot="1" x14ac:dyDescent="0.3">
      <c r="A8" s="40" t="s">
        <v>149</v>
      </c>
      <c r="B8" s="40" t="s">
        <v>39</v>
      </c>
      <c r="C8" s="63" t="s">
        <v>176</v>
      </c>
      <c r="D8" s="63" t="s">
        <v>177</v>
      </c>
      <c r="E8" s="40">
        <v>40</v>
      </c>
      <c r="F8" s="28">
        <v>6.3</v>
      </c>
      <c r="G8" s="41">
        <v>1</v>
      </c>
      <c r="H8" s="42">
        <v>2</v>
      </c>
      <c r="I8" s="43">
        <v>4</v>
      </c>
      <c r="J8" s="48">
        <v>1.6</v>
      </c>
      <c r="K8" s="41">
        <v>2.1000000000000001E-2</v>
      </c>
      <c r="L8" s="9">
        <v>3</v>
      </c>
      <c r="M8" s="9">
        <v>8.23</v>
      </c>
      <c r="N8" s="9">
        <v>1.17</v>
      </c>
      <c r="O8" s="42">
        <f>EXP(-M8)*$M8^N8</f>
        <v>3.138876446081807E-3</v>
      </c>
      <c r="P8" s="9">
        <v>13.36</v>
      </c>
      <c r="Q8" s="9">
        <v>2.1800000000000002</v>
      </c>
      <c r="R8" s="42">
        <f>EXP(-P8)*$M8^Q8</f>
        <v>1.5609800856146791E-4</v>
      </c>
      <c r="S8" s="9">
        <v>11.75</v>
      </c>
      <c r="T8" s="9">
        <v>2.1800000000000002</v>
      </c>
      <c r="U8" s="9">
        <f>EXP(-S8)*$M8^T8</f>
        <v>7.8092886987377475E-4</v>
      </c>
      <c r="V8" s="9">
        <v>16.36</v>
      </c>
      <c r="W8" s="9">
        <v>2.1800000000000002</v>
      </c>
      <c r="X8" s="43">
        <f>EXP(-V8)*$M8^W8</f>
        <v>7.7716622243372147E-6</v>
      </c>
      <c r="Y8" s="41">
        <f>EXP(11604*0.7*(1/293-(1/(E8+273))))</f>
        <v>5.8792499515704906</v>
      </c>
      <c r="Z8" s="42">
        <f>(12*'Operating Phases'!$G$3/'Operating Phases'!$B$3)*('Operating Phases'!$E$3/20)^4*EXP(1414*(1/313-1/('Operating Phases'!$F$3+273)))</f>
        <v>0.75937500000000002</v>
      </c>
      <c r="AA8" s="42">
        <f>(12*'Operating Phases'!$G$3/'Operating Phases'!$B$3)*(MIN('Operating Phases'!$H$3,2)/2)^(1/3)*('Operating Phases'!$E$3/20)^1.9*EXP(1414*(1/313-1/('Operating Phases'!$F$3+273)))</f>
        <v>1.3894011121024268</v>
      </c>
      <c r="AB8" s="42">
        <f>('Operating Phases'!$I$3/0.5)^1.5</f>
        <v>1</v>
      </c>
      <c r="AC8" s="42">
        <v>0</v>
      </c>
      <c r="AD8" s="43">
        <f>(J8*'Operating Phases'!$Z$3*'Operating Phases'!$AA$3)^(0.511*LN(F8))</f>
        <v>5.8387210313328888</v>
      </c>
      <c r="AE8" s="41">
        <v>0</v>
      </c>
      <c r="AF8" s="42">
        <f>(12*'Operating Phases'!$G$4/'Operating Phases'!$B$4)*('Operating Phases'!$E$4/20)^4*EXP(1414*(1/313-1/('Operating Phases'!$F$4+273)))</f>
        <v>4.4880319148936175E-4</v>
      </c>
      <c r="AG8" s="42">
        <f>(12*'Operating Phases'!$G$4/'Operating Phases'!$B$4)*(MIN('Operating Phases'!$H$4,2)/2)^(1/3)*('Operating Phases'!$E$4/20)^1.9*EXP(1414*(1/313-1/('Operating Phases'!$F$4+273)))</f>
        <v>8.2115904970592613E-4</v>
      </c>
      <c r="AH8" s="42">
        <f>('Operating Phases'!$I$4/0.5)^1.5</f>
        <v>0</v>
      </c>
      <c r="AI8" s="42">
        <f>('Operating Phases'!$C$4/70)^4.4*EXP(11604*0.9*(1/293-1/('Operating Phases'!$D$4+273)))</f>
        <v>2.8795407159260447</v>
      </c>
      <c r="AJ8" s="43">
        <f>(J8*'Operating Phases'!$Z$4*'Operating Phases'!$AA$4)^(0.511*LN(F8))</f>
        <v>2.5628377977234575</v>
      </c>
      <c r="AK8" s="27">
        <f>EXP(1.39*(1-((G8+H8+1)*I8/36))-0.69)</f>
        <v>1.085697049035097</v>
      </c>
      <c r="AL8" s="29">
        <f>SUM(('Operating Phases'!$B$3/8760)*(K8*Y8+O8*AC8+R8*Z8+U8*AA8+X8*AB8)*AD8,('Operating Phases'!$B$4/8760)*(K8*AE8+O8*AI8+R8*AF8+U8*AG8+X8*AH8)*AJ8)</f>
        <v>4.7302386302471321E-2</v>
      </c>
      <c r="AM8" s="60">
        <f>AL8*AK8*'Operating Phases'!$AC$3</f>
        <v>0.20542424488364522</v>
      </c>
    </row>
    <row r="9" spans="1:39" ht="15.75" thickBot="1" x14ac:dyDescent="0.3">
      <c r="AL9" s="26" t="s">
        <v>106</v>
      </c>
      <c r="AM9" s="62">
        <f>SUM(AM4:AM8)</f>
        <v>0.82088584035987944</v>
      </c>
    </row>
    <row r="10" spans="1:39" ht="15.75" thickTop="1" x14ac:dyDescent="0.25"/>
  </sheetData>
  <mergeCells count="4">
    <mergeCell ref="G2:I2"/>
    <mergeCell ref="Y2:AD2"/>
    <mergeCell ref="AE2:AJ2"/>
    <mergeCell ref="K2:X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topLeftCell="D1" workbookViewId="0">
      <selection activeCell="O9" sqref="O9"/>
    </sheetView>
  </sheetViews>
  <sheetFormatPr defaultRowHeight="15" x14ac:dyDescent="0.25"/>
  <cols>
    <col min="2" max="2" width="12.42578125" customWidth="1"/>
    <col min="3" max="3" width="19.7109375" customWidth="1"/>
    <col min="4" max="4" width="60.85546875" customWidth="1"/>
    <col min="7" max="7" width="10.85546875" customWidth="1"/>
    <col min="8" max="8" width="11.85546875" customWidth="1"/>
    <col min="9" max="9" width="5.7109375" customWidth="1"/>
    <col min="10" max="10" width="8.7109375" customWidth="1"/>
    <col min="11" max="12" width="5" customWidth="1"/>
    <col min="13" max="13" width="4.5703125" customWidth="1"/>
    <col min="14" max="14" width="4.85546875" customWidth="1"/>
    <col min="15" max="15" width="9.140625" customWidth="1"/>
    <col min="16" max="16" width="5.42578125" customWidth="1"/>
    <col min="17" max="17" width="4.7109375" customWidth="1"/>
    <col min="18" max="18" width="6.140625" customWidth="1"/>
    <col min="19" max="19" width="8.28515625" customWidth="1"/>
    <col min="20" max="20" width="4.85546875" customWidth="1"/>
    <col min="22" max="22" width="5.7109375" customWidth="1"/>
    <col min="24" max="24" width="7.5703125" customWidth="1"/>
    <col min="25" max="25" width="9.140625" customWidth="1"/>
    <col min="30" max="30" width="10.28515625" customWidth="1"/>
    <col min="31" max="31" width="8.140625" customWidth="1"/>
  </cols>
  <sheetData>
    <row r="1" spans="1:31" ht="33.75" customHeight="1" thickBot="1" x14ac:dyDescent="0.3"/>
    <row r="2" spans="1:31" x14ac:dyDescent="0.25">
      <c r="G2" s="203" t="s">
        <v>97</v>
      </c>
      <c r="H2" s="204"/>
      <c r="I2" s="205"/>
      <c r="M2" s="206" t="s">
        <v>250</v>
      </c>
      <c r="N2" s="207"/>
      <c r="O2" s="207"/>
      <c r="P2" s="207"/>
      <c r="Q2" s="207"/>
      <c r="R2" s="208"/>
      <c r="S2" s="206" t="s">
        <v>76</v>
      </c>
      <c r="T2" s="209"/>
      <c r="U2" s="209"/>
      <c r="V2" s="209"/>
      <c r="W2" s="210"/>
      <c r="X2" s="206" t="s">
        <v>77</v>
      </c>
      <c r="Y2" s="209"/>
      <c r="Z2" s="209"/>
      <c r="AA2" s="209"/>
      <c r="AB2" s="210"/>
    </row>
    <row r="3" spans="1:31" ht="39" customHeight="1" thickBot="1" x14ac:dyDescent="0.4">
      <c r="A3" s="52" t="s">
        <v>0</v>
      </c>
      <c r="B3" s="52" t="s">
        <v>1</v>
      </c>
      <c r="C3" s="52" t="s">
        <v>3</v>
      </c>
      <c r="D3" s="52" t="s">
        <v>4</v>
      </c>
      <c r="E3" s="52" t="s">
        <v>58</v>
      </c>
      <c r="F3" s="70" t="s">
        <v>219</v>
      </c>
      <c r="G3" s="66" t="s">
        <v>220</v>
      </c>
      <c r="H3" s="65" t="s">
        <v>221</v>
      </c>
      <c r="I3" s="72" t="s">
        <v>96</v>
      </c>
      <c r="J3" s="90" t="s">
        <v>222</v>
      </c>
      <c r="K3" s="65" t="s">
        <v>195</v>
      </c>
      <c r="L3" s="75" t="s">
        <v>196</v>
      </c>
      <c r="M3" s="86" t="s">
        <v>185</v>
      </c>
      <c r="N3" s="78" t="s">
        <v>186</v>
      </c>
      <c r="O3" s="67" t="s">
        <v>184</v>
      </c>
      <c r="P3" s="92" t="s">
        <v>188</v>
      </c>
      <c r="Q3" s="92" t="s">
        <v>189</v>
      </c>
      <c r="R3" s="82" t="s">
        <v>187</v>
      </c>
      <c r="S3" s="76" t="s">
        <v>190</v>
      </c>
      <c r="T3" s="67" t="s">
        <v>191</v>
      </c>
      <c r="U3" s="67" t="s">
        <v>192</v>
      </c>
      <c r="V3" s="67" t="s">
        <v>193</v>
      </c>
      <c r="W3" s="82" t="s">
        <v>194</v>
      </c>
      <c r="X3" s="76" t="s">
        <v>190</v>
      </c>
      <c r="Y3" s="67" t="s">
        <v>191</v>
      </c>
      <c r="Z3" s="67" t="s">
        <v>192</v>
      </c>
      <c r="AA3" s="67" t="s">
        <v>193</v>
      </c>
      <c r="AB3" s="82" t="s">
        <v>194</v>
      </c>
      <c r="AC3" s="65" t="s">
        <v>223</v>
      </c>
      <c r="AD3" s="90" t="s">
        <v>230</v>
      </c>
      <c r="AE3" s="77" t="s">
        <v>102</v>
      </c>
    </row>
    <row r="4" spans="1:31" ht="15.75" thickBot="1" x14ac:dyDescent="0.3">
      <c r="A4" s="40" t="s">
        <v>147</v>
      </c>
      <c r="B4" s="40" t="s">
        <v>148</v>
      </c>
      <c r="C4" s="63" t="s">
        <v>174</v>
      </c>
      <c r="D4" s="63" t="s">
        <v>175</v>
      </c>
      <c r="E4" s="40">
        <v>45</v>
      </c>
      <c r="F4" s="28">
        <v>5.9</v>
      </c>
      <c r="G4" s="41">
        <v>1</v>
      </c>
      <c r="H4" s="42">
        <v>2</v>
      </c>
      <c r="I4" s="43">
        <v>4</v>
      </c>
      <c r="J4" s="30">
        <v>1.6</v>
      </c>
      <c r="K4" s="27">
        <v>1</v>
      </c>
      <c r="L4" s="28">
        <f>1.96*1.02*0.705</f>
        <v>1.4094359999999999</v>
      </c>
      <c r="M4" s="41">
        <v>0.35899999999999999</v>
      </c>
      <c r="N4" s="9">
        <v>0.52300000000000002</v>
      </c>
      <c r="O4" s="9">
        <f>(3.4+0.27*SQRT(K4))^2</f>
        <v>13.4689</v>
      </c>
      <c r="P4" s="9">
        <v>0.9</v>
      </c>
      <c r="Q4" s="9">
        <v>2.8000000000000001E-2</v>
      </c>
      <c r="R4" s="10">
        <f>(6.4*(L4)^(0.38))-0.79</f>
        <v>6.5015055521458756</v>
      </c>
      <c r="S4" s="8">
        <f>EXP(11604*0.44*((1/293)-(1/(273+'Operating Phases'!D3+'Operating Phases'!E3))))</f>
        <v>5.045493891473031</v>
      </c>
      <c r="T4" s="9">
        <f>(12*'Operating Phases'!G3/'Operating Phases'!B3)*(MIN('Operating Phases'!H3,2)/2)^(1/3)*('Operating Phases'!E3/20)^2.5*EXP(1414*((1/313)-(1/('Operating Phases'!F3+273))))</f>
        <v>1.1691342951089922</v>
      </c>
      <c r="U4" s="9">
        <f>('Operating Phases'!I3/0.5)^1.5</f>
        <v>1</v>
      </c>
      <c r="V4" s="9">
        <v>0</v>
      </c>
      <c r="W4" s="10">
        <f>(J4*'Operating Phases'!Z3*'Operating Phases'!AA3)^(0.511*LN(F4))</f>
        <v>5.4828469482016819</v>
      </c>
      <c r="X4" s="8">
        <v>0</v>
      </c>
      <c r="Y4" s="9">
        <f>(12*'Operating Phases'!G4/'Operating Phases'!B4)*(MIN('Operating Phases'!H4,2)/2)^(1/3)*('Operating Phases'!E4/20)^2.5*EXP(1414*((1/313)-(1/('Operating Phases'!F4+273))))</f>
        <v>6.9097771578545647E-4</v>
      </c>
      <c r="Z4" s="9">
        <f>('Operating Phases'!I4/0.5)^1.5</f>
        <v>0</v>
      </c>
      <c r="AA4" s="9">
        <f>('Operating Phases'!C4/70)^4.4*EXP(11604*0.6*((1/293)-(1/('Operating Phases'!D4+273))))</f>
        <v>1.6144583952472902</v>
      </c>
      <c r="AB4" s="10">
        <f>(J4*'Operating Phases'!Z4*'Operating Phases'!AA4)^(0.511*LN(F4))</f>
        <v>2.47830229468941</v>
      </c>
      <c r="AC4" s="27">
        <f>EXP(1.39*(1-((G4+H4+1)*I4/36))-0.69)</f>
        <v>1.085697049035097</v>
      </c>
      <c r="AD4" s="30">
        <f>SUM(('Operating Phases'!B3/8760)*(O4*(M4*S4+N4*T4)+R4*(P4*U4+Q4*V4))*W4,('Operating Phases'!B4/8760)*(O4*(M4*X4+'DCDC converter'!N4*'DCDC converter'!Y4)+'DCDC converter'!R4*(P4*Z4+Q4*AA4))*AB4)</f>
        <v>7.9411062900845168</v>
      </c>
      <c r="AE4" s="61">
        <f>AD4*AC4*'Operating Phases'!AC3</f>
        <v>34.48654266087523</v>
      </c>
    </row>
    <row r="5" spans="1:31" ht="15.75" thickBot="1" x14ac:dyDescent="0.3">
      <c r="AD5" s="26" t="s">
        <v>106</v>
      </c>
      <c r="AE5" s="62">
        <f>SUM(AE4)</f>
        <v>34.48654266087523</v>
      </c>
    </row>
    <row r="6" spans="1:31" ht="15.75" thickTop="1" x14ac:dyDescent="0.25"/>
  </sheetData>
  <mergeCells count="4">
    <mergeCell ref="X2:AB2"/>
    <mergeCell ref="S2:W2"/>
    <mergeCell ref="M2:R2"/>
    <mergeCell ref="G2:I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zoomScale="90" zoomScaleNormal="90" workbookViewId="0">
      <selection activeCell="H3" sqref="H3"/>
    </sheetView>
  </sheetViews>
  <sheetFormatPr defaultRowHeight="15" x14ac:dyDescent="0.25"/>
  <cols>
    <col min="2" max="2" width="12.140625" customWidth="1"/>
    <col min="4" max="4" width="23.42578125" customWidth="1"/>
    <col min="7" max="7" width="11" customWidth="1"/>
    <col min="8" max="8" width="12.28515625" customWidth="1"/>
    <col min="12" max="12" width="12.85546875" customWidth="1"/>
    <col min="17" max="17" width="13.42578125" customWidth="1"/>
    <col min="21" max="21" width="14.140625" customWidth="1"/>
  </cols>
  <sheetData>
    <row r="1" spans="1:27" s="114" customFormat="1" ht="15.75" thickBot="1" x14ac:dyDescent="0.3"/>
    <row r="2" spans="1:27" x14ac:dyDescent="0.25">
      <c r="G2" s="206" t="s">
        <v>97</v>
      </c>
      <c r="H2" s="207"/>
      <c r="I2" s="208"/>
      <c r="K2" s="206" t="s">
        <v>258</v>
      </c>
      <c r="L2" s="207"/>
      <c r="M2" s="207"/>
      <c r="N2" s="207"/>
      <c r="O2" s="207"/>
      <c r="P2" s="208"/>
      <c r="Q2" s="206" t="s">
        <v>76</v>
      </c>
      <c r="R2" s="207"/>
      <c r="S2" s="207"/>
      <c r="T2" s="208"/>
      <c r="U2" s="206" t="s">
        <v>77</v>
      </c>
      <c r="V2" s="207"/>
      <c r="W2" s="207"/>
      <c r="X2" s="208"/>
    </row>
    <row r="3" spans="1:27" s="91" customFormat="1" ht="39" customHeight="1" thickBot="1" x14ac:dyDescent="0.4">
      <c r="A3" s="52" t="s">
        <v>0</v>
      </c>
      <c r="B3" s="52" t="s">
        <v>1</v>
      </c>
      <c r="C3" s="52" t="s">
        <v>3</v>
      </c>
      <c r="D3" s="52" t="s">
        <v>4</v>
      </c>
      <c r="E3" s="54" t="s">
        <v>58</v>
      </c>
      <c r="F3" s="79" t="s">
        <v>219</v>
      </c>
      <c r="G3" s="88" t="s">
        <v>220</v>
      </c>
      <c r="H3" s="85" t="s">
        <v>221</v>
      </c>
      <c r="I3" s="69" t="s">
        <v>96</v>
      </c>
      <c r="J3" s="89" t="s">
        <v>222</v>
      </c>
      <c r="K3" s="88" t="s">
        <v>253</v>
      </c>
      <c r="L3" s="73" t="s">
        <v>254</v>
      </c>
      <c r="M3" s="95" t="s">
        <v>255</v>
      </c>
      <c r="N3" s="93" t="s">
        <v>186</v>
      </c>
      <c r="O3" s="84" t="s">
        <v>257</v>
      </c>
      <c r="P3" s="100" t="s">
        <v>256</v>
      </c>
      <c r="Q3" s="97" t="s">
        <v>229</v>
      </c>
      <c r="R3" s="99" t="s">
        <v>191</v>
      </c>
      <c r="S3" s="99" t="s">
        <v>192</v>
      </c>
      <c r="T3" s="101" t="s">
        <v>194</v>
      </c>
      <c r="U3" s="97" t="s">
        <v>229</v>
      </c>
      <c r="V3" s="99" t="s">
        <v>191</v>
      </c>
      <c r="W3" s="99" t="s">
        <v>192</v>
      </c>
      <c r="X3" s="101" t="s">
        <v>194</v>
      </c>
      <c r="Y3" s="96" t="s">
        <v>223</v>
      </c>
      <c r="Z3" s="96" t="s">
        <v>230</v>
      </c>
      <c r="AA3" s="94" t="s">
        <v>102</v>
      </c>
    </row>
    <row r="4" spans="1:27" x14ac:dyDescent="0.25">
      <c r="A4" s="103" t="s">
        <v>126</v>
      </c>
      <c r="B4" s="103" t="s">
        <v>127</v>
      </c>
      <c r="C4" s="103" t="s">
        <v>158</v>
      </c>
      <c r="D4" s="103" t="s">
        <v>178</v>
      </c>
      <c r="E4" s="102">
        <v>35</v>
      </c>
      <c r="F4" s="108">
        <v>4.05</v>
      </c>
      <c r="G4" s="109">
        <v>0</v>
      </c>
      <c r="H4" s="107">
        <v>2</v>
      </c>
      <c r="I4" s="110">
        <v>4</v>
      </c>
      <c r="J4" s="123">
        <v>1.3</v>
      </c>
      <c r="K4" s="116">
        <v>2.5000000000000001E-2</v>
      </c>
      <c r="L4" s="115">
        <v>0.15</v>
      </c>
      <c r="M4" s="115">
        <v>0.01</v>
      </c>
      <c r="N4" s="115">
        <v>0.73</v>
      </c>
      <c r="O4" s="115">
        <v>0.26</v>
      </c>
      <c r="P4" s="117">
        <v>15</v>
      </c>
      <c r="Q4" s="116">
        <f>M4*EXP(11604*L4*((1/293)-(1/(15+10+273))))</f>
        <v>1.104811505494183E-2</v>
      </c>
      <c r="R4" s="115">
        <f>N4*(12*'Operating Phases'!$G$3/'Operating Phases'!$B$3)*(MIN('Operating Phases'!H3,2)/2)^(1/3)*('Operating Phases'!$E$3/20)^(1.9)*EXP(1414*(1/313-1/('Operating Phases'!$F$3+273)))</f>
        <v>1.0142628118347716</v>
      </c>
      <c r="S4" s="115">
        <f>O4*('Operating Phases'!$I$3/0.5)^1.5</f>
        <v>0.26</v>
      </c>
      <c r="T4" s="117">
        <f>(J4*'Operating Phases'!$Z$3*'Operating Phases'!$AA$3)^(0.511*LN(F4))</f>
        <v>3.2953856895187945</v>
      </c>
      <c r="U4" s="116">
        <v>0</v>
      </c>
      <c r="V4" s="115">
        <f>N4*(12*'Operating Phases'!$G$4/'Operating Phases'!$B$4)*(MIN('Operating Phases'!H4,2)/2)^(1/3)*('Operating Phases'!$E$4/20)^(1.9)*EXP(1414*(1/313-1/('Operating Phases'!$F$4+273)))</f>
        <v>5.9944610628532603E-4</v>
      </c>
      <c r="W4" s="115">
        <f>O4*('Operating Phases'!I4/0.5)^1.5</f>
        <v>0</v>
      </c>
      <c r="X4" s="117">
        <f>(J4*'Operating Phases'!$Z$4*'Operating Phases'!$AA$4)^(0.511*LN(F4))</f>
        <v>1.7625945527835882</v>
      </c>
      <c r="Y4" s="122">
        <f>EXP(1.39*(1-((G4+H4)*I4/24))-0.69)</f>
        <v>1.2670187078082644</v>
      </c>
      <c r="Z4" s="115">
        <f>K4*SUM(('Operating Phases'!$B$3/8760)*(Q4+R4+S4)*T4,('Operating Phases'!$B$3/8760)*(U4+V4+W4)*X4)</f>
        <v>3.6272703899795592E-3</v>
      </c>
      <c r="AA4" s="106">
        <f>Z4*Y4*'Operating Phases'!$AC$3</f>
        <v>1.8383277769532323E-2</v>
      </c>
    </row>
    <row r="5" spans="1:27" x14ac:dyDescent="0.25">
      <c r="A5" s="103" t="s">
        <v>128</v>
      </c>
      <c r="B5" s="103" t="s">
        <v>129</v>
      </c>
      <c r="C5" s="103" t="s">
        <v>159</v>
      </c>
      <c r="D5" s="103" t="s">
        <v>178</v>
      </c>
      <c r="E5" s="102">
        <v>35</v>
      </c>
      <c r="F5" s="108">
        <v>4.05</v>
      </c>
      <c r="G5" s="109">
        <v>0</v>
      </c>
      <c r="H5" s="107">
        <v>2</v>
      </c>
      <c r="I5" s="110">
        <v>4</v>
      </c>
      <c r="J5" s="123">
        <v>1.3</v>
      </c>
      <c r="K5" s="116">
        <v>2.5000000000000001E-2</v>
      </c>
      <c r="L5" s="115">
        <v>0.15</v>
      </c>
      <c r="M5" s="115">
        <v>0.01</v>
      </c>
      <c r="N5" s="115">
        <v>0.73</v>
      </c>
      <c r="O5" s="115">
        <v>0.26</v>
      </c>
      <c r="P5" s="117">
        <v>15</v>
      </c>
      <c r="Q5" s="116">
        <f t="shared" ref="Q5:Q6" si="0">M5*EXP(11604*L5*((1/293)-(1/(15+10+273))))</f>
        <v>1.104811505494183E-2</v>
      </c>
      <c r="R5" s="115">
        <f>N5*(12*'Operating Phases'!$G$3/'Operating Phases'!$B$3)*(MIN('Operating Phases'!H4,2)/2)^(1/3)*('Operating Phases'!$E$3/20)^(1.9)*EXP(1414*(1/313-1/('Operating Phases'!$F$3+273)))</f>
        <v>1.0142628118347716</v>
      </c>
      <c r="S5" s="115">
        <f>O5*('Operating Phases'!$I$3/0.5)^1.5</f>
        <v>0.26</v>
      </c>
      <c r="T5" s="117">
        <f>(J5*'Operating Phases'!$Z$3*'Operating Phases'!$AA$3)^(0.511*LN(F5))</f>
        <v>3.2953856895187945</v>
      </c>
      <c r="U5" s="116">
        <v>0</v>
      </c>
      <c r="V5" s="115">
        <f>N5*(12*'Operating Phases'!$G$4/'Operating Phases'!$B$4)*(MIN('Operating Phases'!H5,2)/2)^(1/3)*('Operating Phases'!$E$4/20)^(1.9)*EXP(1414*(1/313-1/('Operating Phases'!$F$4+273)))</f>
        <v>5.9944610628532603E-4</v>
      </c>
      <c r="W5" s="115">
        <f>O5*('Operating Phases'!I5/0.5)^1.5</f>
        <v>0</v>
      </c>
      <c r="X5" s="117">
        <f>(J5*'Operating Phases'!$Z$4*'Operating Phases'!$AA$4)^(0.511*LN(F5))</f>
        <v>1.7625945527835882</v>
      </c>
      <c r="Y5" s="122">
        <f t="shared" ref="Y5:Y6" si="1">EXP(1.39*(1-((G5+H5)*I5/24))-0.69)</f>
        <v>1.2670187078082644</v>
      </c>
      <c r="Z5" s="115">
        <f>K5*SUM(('Operating Phases'!$B$3/8760)*(Q5+R5+S5)*T5,('Operating Phases'!$B$3/8760)*(U5+V5+W5)*X5)</f>
        <v>3.6272703899795592E-3</v>
      </c>
      <c r="AA5" s="106">
        <f>Z5*Y5*'Operating Phases'!$AC$3</f>
        <v>1.8383277769532323E-2</v>
      </c>
    </row>
    <row r="6" spans="1:27" ht="15.75" thickBot="1" x14ac:dyDescent="0.3">
      <c r="A6" s="103" t="s">
        <v>123</v>
      </c>
      <c r="B6" s="103" t="s">
        <v>124</v>
      </c>
      <c r="C6" s="103" t="s">
        <v>110</v>
      </c>
      <c r="D6" s="103" t="s">
        <v>155</v>
      </c>
      <c r="E6" s="102">
        <v>35</v>
      </c>
      <c r="F6" s="108">
        <v>4.05</v>
      </c>
      <c r="G6" s="111">
        <v>0</v>
      </c>
      <c r="H6" s="112">
        <v>2</v>
      </c>
      <c r="I6" s="113">
        <v>4</v>
      </c>
      <c r="J6" s="123">
        <v>1.3</v>
      </c>
      <c r="K6" s="118">
        <v>2.5000000000000001E-2</v>
      </c>
      <c r="L6" s="119">
        <v>0.15</v>
      </c>
      <c r="M6" s="119">
        <v>0.01</v>
      </c>
      <c r="N6" s="119">
        <v>0.73</v>
      </c>
      <c r="O6" s="119">
        <v>0.26</v>
      </c>
      <c r="P6" s="120">
        <v>15</v>
      </c>
      <c r="Q6" s="118">
        <f t="shared" si="0"/>
        <v>1.104811505494183E-2</v>
      </c>
      <c r="R6" s="119">
        <f>N6*(12*'Operating Phases'!$G$3/'Operating Phases'!$B$3)*(MIN('Operating Phases'!H5,2)/2)^(1/3)*('Operating Phases'!$E$3/20)^(1.9)*EXP(1414*(1/313-1/('Operating Phases'!$F$3+273)))</f>
        <v>1.0142628118347716</v>
      </c>
      <c r="S6" s="119">
        <f>O6*('Operating Phases'!$I$3/0.5)^1.5</f>
        <v>0.26</v>
      </c>
      <c r="T6" s="120">
        <f>(J6*'Operating Phases'!$Z$3*'Operating Phases'!$AA$3)^(0.511*LN(F6))</f>
        <v>3.2953856895187945</v>
      </c>
      <c r="U6" s="118">
        <v>0</v>
      </c>
      <c r="V6" s="119">
        <f>N6*(12*'Operating Phases'!$G$4/'Operating Phases'!$B$4)*(MIN('Operating Phases'!H6,2)/2)^(1/3)*('Operating Phases'!$E$4/20)^(1.9)*EXP(1414*(1/313-1/('Operating Phases'!$F$4+273)))</f>
        <v>5.9944610628532603E-4</v>
      </c>
      <c r="W6" s="119">
        <f>O6*('Operating Phases'!I6/0.5)^1.5</f>
        <v>0</v>
      </c>
      <c r="X6" s="120">
        <f>(J6*'Operating Phases'!$Z$4*'Operating Phases'!$AA$4)^(0.511*LN(F6))</f>
        <v>1.7625945527835882</v>
      </c>
      <c r="Y6" s="122">
        <f t="shared" si="1"/>
        <v>1.2670187078082644</v>
      </c>
      <c r="Z6" s="115">
        <f>K6*SUM(('Operating Phases'!$B$3/8760)*(Q6+R6+S6)*T6,('Operating Phases'!$B$3/8760)*(U6+V6+W6)*X6)</f>
        <v>3.6272703899795592E-3</v>
      </c>
      <c r="AA6" s="106">
        <f>Z6*Y6*'Operating Phases'!$AC$3</f>
        <v>1.8383277769532323E-2</v>
      </c>
    </row>
    <row r="7" spans="1:27" s="114" customFormat="1" ht="15.75" thickBot="1" x14ac:dyDescent="0.3">
      <c r="Z7" s="121" t="s">
        <v>106</v>
      </c>
      <c r="AA7" s="62">
        <f>SUM(AA4:AA6)</f>
        <v>5.514983330859697E-2</v>
      </c>
    </row>
    <row r="8" spans="1:27" ht="15.75" thickTop="1" x14ac:dyDescent="0.25"/>
  </sheetData>
  <mergeCells count="4">
    <mergeCell ref="G2:I2"/>
    <mergeCell ref="Q2:T2"/>
    <mergeCell ref="U2:X2"/>
    <mergeCell ref="K2:P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USB_to_RS_v040</vt:lpstr>
      <vt:lpstr>Operating Phases</vt:lpstr>
      <vt:lpstr>Ceramic Capacitors</vt:lpstr>
      <vt:lpstr>Resistors</vt:lpstr>
      <vt:lpstr>Discrete semiconductors</vt:lpstr>
      <vt:lpstr>LEDs</vt:lpstr>
      <vt:lpstr>Microcircuits</vt:lpstr>
      <vt:lpstr>DCDC converter</vt:lpstr>
      <vt:lpstr>Inductors</vt:lpstr>
      <vt:lpstr>Switches</vt:lpstr>
      <vt:lpstr>Connectors</vt:lpstr>
      <vt:lpstr>Fuses</vt:lpstr>
      <vt:lpstr>PCB</vt:lpstr>
      <vt:lpstr>MTBF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skoczek</dc:creator>
  <cp:lastModifiedBy>JK</cp:lastModifiedBy>
  <dcterms:created xsi:type="dcterms:W3CDTF">2014-05-06T14:06:17Z</dcterms:created>
  <dcterms:modified xsi:type="dcterms:W3CDTF">2015-03-16T21:22:05Z</dcterms:modified>
</cp:coreProperties>
</file>